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ПРОГРАММА (- ИЮНЬ ( дополнение)\"/>
    </mc:Choice>
  </mc:AlternateContent>
  <bookViews>
    <workbookView xWindow="0" yWindow="0" windowWidth="13497" windowHeight="9360"/>
  </bookViews>
  <sheets>
    <sheet name="финансирование" sheetId="1" r:id="rId1"/>
  </sheets>
  <externalReferences>
    <externalReference r:id="rId2"/>
  </externalReferences>
  <definedNames>
    <definedName name="_xlnm.Print_Titles" localSheetId="0">финансирование!$10:$12</definedName>
    <definedName name="_xlnm.Print_Area" localSheetId="0">финансирование!$A$1:$Q$420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K35" i="1"/>
  <c r="L35" i="1"/>
  <c r="L33" i="1"/>
  <c r="K24" i="1"/>
  <c r="M72" i="1" l="1"/>
  <c r="M223" i="1"/>
  <c r="M222" i="1"/>
  <c r="M148" i="1" l="1"/>
  <c r="M149" i="1"/>
  <c r="E254" i="1"/>
  <c r="E253" i="1"/>
  <c r="E252" i="1"/>
  <c r="E251" i="1"/>
  <c r="Q250" i="1"/>
  <c r="P250" i="1"/>
  <c r="O250" i="1"/>
  <c r="N250" i="1"/>
  <c r="M250" i="1"/>
  <c r="L250" i="1"/>
  <c r="K250" i="1"/>
  <c r="J250" i="1"/>
  <c r="I250" i="1"/>
  <c r="H250" i="1"/>
  <c r="G250" i="1"/>
  <c r="E250" i="1" s="1"/>
  <c r="F250" i="1"/>
  <c r="M399" i="1" l="1"/>
  <c r="Q362" i="1"/>
  <c r="P362" i="1"/>
  <c r="O362" i="1"/>
  <c r="N362" i="1"/>
  <c r="M362" i="1"/>
  <c r="M359" i="1"/>
  <c r="Q399" i="1"/>
  <c r="P399" i="1"/>
  <c r="O399" i="1"/>
  <c r="N399" i="1"/>
  <c r="E415" i="1"/>
  <c r="N411" i="1"/>
  <c r="M411" i="1"/>
  <c r="E414" i="1"/>
  <c r="E413" i="1"/>
  <c r="E412" i="1"/>
  <c r="Q411" i="1"/>
  <c r="P411" i="1"/>
  <c r="O411" i="1"/>
  <c r="L411" i="1"/>
  <c r="K411" i="1"/>
  <c r="J411" i="1"/>
  <c r="I411" i="1"/>
  <c r="H411" i="1"/>
  <c r="G411" i="1"/>
  <c r="F411" i="1"/>
  <c r="E411" i="1" l="1"/>
  <c r="M332" i="1" l="1"/>
  <c r="M248" i="1"/>
  <c r="M286" i="1" l="1"/>
  <c r="E249" i="1" l="1"/>
  <c r="E248" i="1"/>
  <c r="E247" i="1"/>
  <c r="E246" i="1"/>
  <c r="Q245" i="1"/>
  <c r="P245" i="1"/>
  <c r="O245" i="1"/>
  <c r="N245" i="1"/>
  <c r="L245" i="1"/>
  <c r="K245" i="1"/>
  <c r="J245" i="1"/>
  <c r="I245" i="1"/>
  <c r="H245" i="1"/>
  <c r="G245" i="1"/>
  <c r="F245" i="1"/>
  <c r="M245" i="1" l="1"/>
  <c r="E245" i="1" s="1"/>
  <c r="M347" i="1" l="1"/>
  <c r="M404" i="1"/>
  <c r="M292" i="1"/>
  <c r="AD21" i="1" l="1"/>
  <c r="M381" i="1"/>
  <c r="M374" i="1"/>
  <c r="M327" i="1"/>
  <c r="AH21" i="1"/>
  <c r="AF21" i="1"/>
  <c r="M273" i="1"/>
  <c r="B282" i="1" l="1"/>
  <c r="M36" i="1" l="1"/>
  <c r="M29" i="1" s="1"/>
  <c r="E145" i="1"/>
  <c r="E144" i="1"/>
  <c r="E143" i="1"/>
  <c r="E142" i="1"/>
  <c r="Q141" i="1"/>
  <c r="P141" i="1"/>
  <c r="O141" i="1"/>
  <c r="N141" i="1"/>
  <c r="M141" i="1"/>
  <c r="L141" i="1"/>
  <c r="K141" i="1"/>
  <c r="E141" i="1" s="1"/>
  <c r="J141" i="1"/>
  <c r="M228" i="1" l="1"/>
  <c r="M284" i="1" l="1"/>
  <c r="M282" i="1" s="1"/>
  <c r="M139" i="1" l="1"/>
  <c r="M83" i="1" l="1"/>
  <c r="M280" i="1" l="1"/>
  <c r="M31" i="1" s="1"/>
  <c r="M278" i="1"/>
  <c r="M28" i="1" s="1"/>
  <c r="N30" i="1"/>
  <c r="N25" i="1"/>
  <c r="E28" i="1" l="1"/>
  <c r="M19" i="1"/>
  <c r="E19" i="1" s="1"/>
  <c r="E31" i="1"/>
  <c r="M22" i="1"/>
  <c r="E22" i="1" s="1"/>
  <c r="M243" i="1" l="1"/>
  <c r="M242" i="1"/>
  <c r="E287" i="1"/>
  <c r="E285" i="1"/>
  <c r="E280" i="1"/>
  <c r="E278" i="1"/>
  <c r="E27" i="1"/>
  <c r="E18" i="1"/>
  <c r="N286" i="1" l="1"/>
  <c r="Q36" i="1"/>
  <c r="P36" i="1"/>
  <c r="Q35" i="1"/>
  <c r="P35" i="1"/>
  <c r="E140" i="1"/>
  <c r="E139" i="1"/>
  <c r="E138" i="1"/>
  <c r="E137" i="1"/>
  <c r="Q136" i="1"/>
  <c r="P136" i="1"/>
  <c r="O136" i="1"/>
  <c r="N136" i="1"/>
  <c r="M136" i="1"/>
  <c r="L136" i="1"/>
  <c r="K136" i="1"/>
  <c r="J136" i="1"/>
  <c r="O306" i="1"/>
  <c r="N306" i="1"/>
  <c r="M306" i="1"/>
  <c r="M218" i="1"/>
  <c r="E136" i="1" l="1"/>
  <c r="O128" i="1"/>
  <c r="O123" i="1" l="1"/>
  <c r="N123" i="1"/>
  <c r="M123" i="1"/>
  <c r="M113" i="1" l="1"/>
  <c r="O61" i="1" l="1"/>
  <c r="O35" i="1" s="1"/>
  <c r="O301" i="1" l="1"/>
  <c r="N301" i="1"/>
  <c r="M301" i="1"/>
  <c r="N72" i="1" l="1"/>
  <c r="N327" i="1"/>
  <c r="M108" i="1"/>
  <c r="N98" i="1"/>
  <c r="M98" i="1"/>
  <c r="O72" i="1"/>
  <c r="O98" i="1"/>
  <c r="L404" i="1" l="1"/>
  <c r="L381" i="1"/>
  <c r="L374" i="1"/>
  <c r="L347" i="1"/>
  <c r="L165" i="1"/>
  <c r="L128" i="1" l="1"/>
  <c r="L123" i="1"/>
  <c r="L72" i="1"/>
  <c r="M69" i="1" l="1"/>
  <c r="N148" i="1" l="1"/>
  <c r="O148" i="1"/>
  <c r="P148" i="1"/>
  <c r="Q148" i="1"/>
  <c r="Q149" i="1"/>
  <c r="P149" i="1"/>
  <c r="O149" i="1"/>
  <c r="N149" i="1"/>
  <c r="E244" i="1" l="1"/>
  <c r="E243" i="1"/>
  <c r="E242" i="1"/>
  <c r="E241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 l="1"/>
  <c r="L113" i="1" l="1"/>
  <c r="AB21" i="1" l="1"/>
  <c r="L409" i="1"/>
  <c r="L316" i="1"/>
  <c r="L311" i="1"/>
  <c r="L306" i="1"/>
  <c r="L98" i="1"/>
  <c r="L93" i="1"/>
  <c r="L97" i="1" l="1"/>
  <c r="L223" i="1"/>
  <c r="L222" i="1"/>
  <c r="L61" i="1"/>
  <c r="L129" i="1" l="1"/>
  <c r="L126" i="1" s="1"/>
  <c r="E135" i="1" l="1"/>
  <c r="E134" i="1"/>
  <c r="E133" i="1"/>
  <c r="E132" i="1"/>
  <c r="Q131" i="1"/>
  <c r="P131" i="1"/>
  <c r="O131" i="1"/>
  <c r="N131" i="1"/>
  <c r="M131" i="1"/>
  <c r="L131" i="1"/>
  <c r="K131" i="1"/>
  <c r="J131" i="1"/>
  <c r="L51" i="1"/>
  <c r="L326" i="1"/>
  <c r="L321" i="1" s="1"/>
  <c r="L102" i="1"/>
  <c r="L83" i="1"/>
  <c r="L36" i="1" s="1"/>
  <c r="L232" i="1"/>
  <c r="E131" i="1" l="1"/>
  <c r="M165" i="1" l="1"/>
  <c r="O113" i="1" l="1"/>
  <c r="O36" i="1" s="1"/>
  <c r="N113" i="1"/>
  <c r="N36" i="1" s="1"/>
  <c r="O409" i="1" l="1"/>
  <c r="O327" i="1" l="1"/>
  <c r="N409" i="1"/>
  <c r="M409" i="1"/>
  <c r="O404" i="1"/>
  <c r="N404" i="1"/>
  <c r="M342" i="1"/>
  <c r="L327" i="1" l="1"/>
  <c r="L332" i="1"/>
  <c r="L237" i="1"/>
  <c r="L233" i="1"/>
  <c r="L228" i="1"/>
  <c r="N128" i="1"/>
  <c r="M128" i="1"/>
  <c r="E130" i="1"/>
  <c r="E129" i="1"/>
  <c r="E127" i="1"/>
  <c r="Q126" i="1"/>
  <c r="P126" i="1"/>
  <c r="O126" i="1"/>
  <c r="K126" i="1"/>
  <c r="J126" i="1"/>
  <c r="M126" i="1" l="1"/>
  <c r="M35" i="1"/>
  <c r="N126" i="1"/>
  <c r="E126" i="1" s="1"/>
  <c r="N35" i="1"/>
  <c r="E128" i="1"/>
  <c r="E120" i="1" l="1"/>
  <c r="E119" i="1"/>
  <c r="E118" i="1"/>
  <c r="E117" i="1"/>
  <c r="Q116" i="1"/>
  <c r="P116" i="1"/>
  <c r="O116" i="1"/>
  <c r="N116" i="1"/>
  <c r="M116" i="1"/>
  <c r="L116" i="1"/>
  <c r="K116" i="1"/>
  <c r="J116" i="1"/>
  <c r="E116" i="1" l="1"/>
  <c r="E125" i="1"/>
  <c r="E124" i="1"/>
  <c r="E123" i="1"/>
  <c r="E122" i="1"/>
  <c r="Q121" i="1"/>
  <c r="P121" i="1"/>
  <c r="O121" i="1"/>
  <c r="N121" i="1"/>
  <c r="M121" i="1"/>
  <c r="L121" i="1"/>
  <c r="K121" i="1"/>
  <c r="J121" i="1"/>
  <c r="E121" i="1" l="1"/>
  <c r="L238" i="1" l="1"/>
  <c r="L148" i="1" l="1"/>
  <c r="E114" i="1" l="1"/>
  <c r="E113" i="1"/>
  <c r="E112" i="1"/>
  <c r="E111" i="1"/>
  <c r="Q110" i="1"/>
  <c r="P110" i="1"/>
  <c r="O110" i="1"/>
  <c r="N110" i="1"/>
  <c r="M110" i="1"/>
  <c r="L110" i="1"/>
  <c r="K110" i="1"/>
  <c r="J110" i="1"/>
  <c r="E110" i="1" l="1"/>
  <c r="L149" i="1"/>
  <c r="K235" i="1" l="1"/>
  <c r="L235" i="1"/>
  <c r="E239" i="1"/>
  <c r="E238" i="1"/>
  <c r="E237" i="1"/>
  <c r="E236" i="1"/>
  <c r="Q235" i="1"/>
  <c r="P235" i="1"/>
  <c r="O235" i="1"/>
  <c r="N235" i="1"/>
  <c r="M235" i="1"/>
  <c r="J235" i="1"/>
  <c r="I235" i="1"/>
  <c r="H235" i="1"/>
  <c r="G235" i="1"/>
  <c r="F235" i="1"/>
  <c r="E109" i="1"/>
  <c r="E108" i="1"/>
  <c r="E107" i="1"/>
  <c r="E106" i="1"/>
  <c r="Q105" i="1"/>
  <c r="P105" i="1"/>
  <c r="O105" i="1"/>
  <c r="N105" i="1"/>
  <c r="M105" i="1"/>
  <c r="L105" i="1"/>
  <c r="K105" i="1"/>
  <c r="J105" i="1"/>
  <c r="E235" i="1" l="1"/>
  <c r="E105" i="1"/>
  <c r="L301" i="1" l="1"/>
  <c r="L282" i="1" l="1"/>
  <c r="L275" i="1" s="1"/>
  <c r="N282" i="1"/>
  <c r="N275" i="1" s="1"/>
  <c r="E288" i="1"/>
  <c r="E281" i="1" s="1"/>
  <c r="E286" i="1"/>
  <c r="E279" i="1" s="1"/>
  <c r="E283" i="1"/>
  <c r="E276" i="1" s="1"/>
  <c r="Q282" i="1"/>
  <c r="Q275" i="1" s="1"/>
  <c r="P282" i="1"/>
  <c r="P275" i="1" s="1"/>
  <c r="O282" i="1"/>
  <c r="O275" i="1" s="1"/>
  <c r="K282" i="1"/>
  <c r="K275" i="1" s="1"/>
  <c r="J282" i="1"/>
  <c r="J275" i="1" s="1"/>
  <c r="I282" i="1"/>
  <c r="I275" i="1" s="1"/>
  <c r="H282" i="1"/>
  <c r="H275" i="1" s="1"/>
  <c r="G282" i="1"/>
  <c r="G275" i="1" s="1"/>
  <c r="F282" i="1"/>
  <c r="Q281" i="1"/>
  <c r="P281" i="1"/>
  <c r="O281" i="1"/>
  <c r="N281" i="1"/>
  <c r="M281" i="1"/>
  <c r="L281" i="1"/>
  <c r="K281" i="1"/>
  <c r="J281" i="1"/>
  <c r="I281" i="1"/>
  <c r="H281" i="1"/>
  <c r="G281" i="1"/>
  <c r="Q279" i="1"/>
  <c r="P279" i="1"/>
  <c r="O279" i="1"/>
  <c r="N279" i="1"/>
  <c r="M279" i="1"/>
  <c r="L279" i="1"/>
  <c r="K279" i="1"/>
  <c r="J279" i="1"/>
  <c r="I279" i="1"/>
  <c r="H279" i="1"/>
  <c r="G279" i="1"/>
  <c r="Q277" i="1"/>
  <c r="P277" i="1"/>
  <c r="O277" i="1"/>
  <c r="L277" i="1"/>
  <c r="L26" i="1" s="1"/>
  <c r="K277" i="1"/>
  <c r="J277" i="1"/>
  <c r="I277" i="1"/>
  <c r="H277" i="1"/>
  <c r="G277" i="1"/>
  <c r="Q276" i="1"/>
  <c r="P276" i="1"/>
  <c r="O276" i="1"/>
  <c r="N276" i="1"/>
  <c r="M276" i="1"/>
  <c r="L276" i="1"/>
  <c r="K276" i="1"/>
  <c r="J276" i="1"/>
  <c r="I276" i="1"/>
  <c r="H276" i="1"/>
  <c r="G276" i="1"/>
  <c r="E284" i="1" l="1"/>
  <c r="E277" i="1" s="1"/>
  <c r="M277" i="1"/>
  <c r="N277" i="1"/>
  <c r="N26" i="1" s="1"/>
  <c r="M275" i="1"/>
  <c r="N17" i="1" l="1"/>
  <c r="N24" i="1"/>
  <c r="E282" i="1"/>
  <c r="E275" i="1" s="1"/>
  <c r="E234" i="1"/>
  <c r="E233" i="1"/>
  <c r="E232" i="1"/>
  <c r="E231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29" i="1"/>
  <c r="E228" i="1"/>
  <c r="E227" i="1"/>
  <c r="E226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K36" i="1"/>
  <c r="E104" i="1"/>
  <c r="E103" i="1"/>
  <c r="E102" i="1"/>
  <c r="E101" i="1"/>
  <c r="Q100" i="1"/>
  <c r="P100" i="1"/>
  <c r="O100" i="1"/>
  <c r="N100" i="1"/>
  <c r="M100" i="1"/>
  <c r="L100" i="1"/>
  <c r="K100" i="1"/>
  <c r="J100" i="1"/>
  <c r="M26" i="1" l="1"/>
  <c r="M17" i="1" s="1"/>
  <c r="E230" i="1"/>
  <c r="E225" i="1"/>
  <c r="E100" i="1"/>
  <c r="N364" i="1" l="1"/>
  <c r="O364" i="1"/>
  <c r="P364" i="1"/>
  <c r="Q364" i="1"/>
  <c r="N295" i="1"/>
  <c r="O295" i="1"/>
  <c r="P295" i="1"/>
  <c r="Q295" i="1"/>
  <c r="N296" i="1"/>
  <c r="O296" i="1"/>
  <c r="P296" i="1"/>
  <c r="Q296" i="1"/>
  <c r="N297" i="1"/>
  <c r="O297" i="1"/>
  <c r="P297" i="1"/>
  <c r="Q297" i="1"/>
  <c r="N290" i="1"/>
  <c r="O290" i="1"/>
  <c r="P290" i="1"/>
  <c r="Q290" i="1"/>
  <c r="N291" i="1"/>
  <c r="O291" i="1"/>
  <c r="P291" i="1"/>
  <c r="Q291" i="1"/>
  <c r="N292" i="1"/>
  <c r="O292" i="1"/>
  <c r="P292" i="1"/>
  <c r="Q292" i="1"/>
  <c r="N266" i="1"/>
  <c r="O266" i="1"/>
  <c r="P266" i="1"/>
  <c r="Q266" i="1"/>
  <c r="N267" i="1"/>
  <c r="O267" i="1"/>
  <c r="P267" i="1"/>
  <c r="Q267" i="1"/>
  <c r="N268" i="1"/>
  <c r="O268" i="1"/>
  <c r="P268" i="1"/>
  <c r="Q268" i="1"/>
  <c r="N269" i="1"/>
  <c r="O269" i="1"/>
  <c r="P269" i="1"/>
  <c r="Q269" i="1"/>
  <c r="N256" i="1"/>
  <c r="O256" i="1"/>
  <c r="P256" i="1"/>
  <c r="Q256" i="1"/>
  <c r="N257" i="1"/>
  <c r="O257" i="1"/>
  <c r="P257" i="1"/>
  <c r="Q257" i="1"/>
  <c r="N258" i="1"/>
  <c r="O258" i="1"/>
  <c r="P258" i="1"/>
  <c r="Q258" i="1"/>
  <c r="N259" i="1"/>
  <c r="O259" i="1"/>
  <c r="P259" i="1"/>
  <c r="Q259" i="1"/>
  <c r="N303" i="1"/>
  <c r="N298" i="1" s="1"/>
  <c r="O303" i="1"/>
  <c r="O298" i="1" s="1"/>
  <c r="P303" i="1"/>
  <c r="P298" i="1" s="1"/>
  <c r="Q303" i="1"/>
  <c r="Q298" i="1" s="1"/>
  <c r="E274" i="1"/>
  <c r="E273" i="1"/>
  <c r="E268" i="1" s="1"/>
  <c r="E272" i="1"/>
  <c r="E271" i="1"/>
  <c r="E266" i="1" s="1"/>
  <c r="Q270" i="1"/>
  <c r="P270" i="1"/>
  <c r="P265" i="1" s="1"/>
  <c r="O270" i="1"/>
  <c r="O265" i="1" s="1"/>
  <c r="N270" i="1"/>
  <c r="N265" i="1" s="1"/>
  <c r="M270" i="1"/>
  <c r="M265" i="1" s="1"/>
  <c r="L270" i="1"/>
  <c r="L265" i="1" s="1"/>
  <c r="K270" i="1"/>
  <c r="K265" i="1" s="1"/>
  <c r="J270" i="1"/>
  <c r="J265" i="1" s="1"/>
  <c r="I270" i="1"/>
  <c r="I265" i="1" s="1"/>
  <c r="H270" i="1"/>
  <c r="H265" i="1" s="1"/>
  <c r="G270" i="1"/>
  <c r="G265" i="1" s="1"/>
  <c r="F270" i="1"/>
  <c r="M269" i="1"/>
  <c r="L269" i="1"/>
  <c r="K269" i="1"/>
  <c r="J269" i="1"/>
  <c r="I269" i="1"/>
  <c r="H269" i="1"/>
  <c r="G269" i="1"/>
  <c r="E269" i="1"/>
  <c r="M268" i="1"/>
  <c r="L268" i="1"/>
  <c r="K268" i="1"/>
  <c r="J268" i="1"/>
  <c r="I268" i="1"/>
  <c r="H268" i="1"/>
  <c r="G268" i="1"/>
  <c r="M267" i="1"/>
  <c r="L267" i="1"/>
  <c r="K267" i="1"/>
  <c r="J267" i="1"/>
  <c r="I267" i="1"/>
  <c r="H267" i="1"/>
  <c r="G267" i="1"/>
  <c r="E267" i="1"/>
  <c r="M266" i="1"/>
  <c r="L266" i="1"/>
  <c r="K266" i="1"/>
  <c r="J266" i="1"/>
  <c r="I266" i="1"/>
  <c r="H266" i="1"/>
  <c r="G266" i="1"/>
  <c r="Q265" i="1"/>
  <c r="Q293" i="1" l="1"/>
  <c r="P293" i="1"/>
  <c r="O293" i="1"/>
  <c r="N293" i="1"/>
  <c r="E270" i="1"/>
  <c r="E265" i="1" s="1"/>
  <c r="L49" i="1" l="1"/>
  <c r="E410" i="1" l="1"/>
  <c r="E408" i="1"/>
  <c r="E407" i="1"/>
  <c r="E402" i="1"/>
  <c r="E403" i="1"/>
  <c r="E405" i="1"/>
  <c r="E400" i="1"/>
  <c r="E398" i="1"/>
  <c r="E397" i="1"/>
  <c r="E383" i="1"/>
  <c r="E382" i="1"/>
  <c r="E380" i="1"/>
  <c r="E379" i="1"/>
  <c r="E376" i="1"/>
  <c r="E373" i="1"/>
  <c r="E372" i="1"/>
  <c r="E370" i="1"/>
  <c r="E367" i="1"/>
  <c r="E366" i="1"/>
  <c r="E345" i="1"/>
  <c r="E346" i="1"/>
  <c r="E348" i="1"/>
  <c r="E343" i="1"/>
  <c r="E340" i="1"/>
  <c r="E333" i="1"/>
  <c r="E330" i="1"/>
  <c r="E331" i="1"/>
  <c r="E328" i="1"/>
  <c r="E325" i="1"/>
  <c r="E320" i="1"/>
  <c r="E318" i="1"/>
  <c r="E317" i="1"/>
  <c r="E315" i="1"/>
  <c r="E313" i="1"/>
  <c r="E312" i="1"/>
  <c r="E310" i="1"/>
  <c r="E307" i="1"/>
  <c r="E308" i="1"/>
  <c r="E305" i="1"/>
  <c r="E302" i="1"/>
  <c r="E300" i="1"/>
  <c r="E264" i="1"/>
  <c r="E259" i="1" s="1"/>
  <c r="E261" i="1"/>
  <c r="E256" i="1" s="1"/>
  <c r="E262" i="1"/>
  <c r="E257" i="1" s="1"/>
  <c r="E263" i="1"/>
  <c r="E258" i="1" s="1"/>
  <c r="E224" i="1"/>
  <c r="E174" i="1"/>
  <c r="E177" i="1"/>
  <c r="E179" i="1"/>
  <c r="E180" i="1"/>
  <c r="E181" i="1"/>
  <c r="E182" i="1"/>
  <c r="E183" i="1"/>
  <c r="E185" i="1"/>
  <c r="E186" i="1"/>
  <c r="E187" i="1"/>
  <c r="E189" i="1"/>
  <c r="E191" i="1"/>
  <c r="E192" i="1"/>
  <c r="E193" i="1"/>
  <c r="E194" i="1"/>
  <c r="E196" i="1"/>
  <c r="E199" i="1"/>
  <c r="E201" i="1"/>
  <c r="E202" i="1"/>
  <c r="E204" i="1"/>
  <c r="E206" i="1"/>
  <c r="E207" i="1"/>
  <c r="E209" i="1"/>
  <c r="E211" i="1"/>
  <c r="E214" i="1"/>
  <c r="E216" i="1"/>
  <c r="E217" i="1"/>
  <c r="E219" i="1"/>
  <c r="E221" i="1"/>
  <c r="E222" i="1"/>
  <c r="E223" i="1"/>
  <c r="E173" i="1"/>
  <c r="E166" i="1"/>
  <c r="E164" i="1"/>
  <c r="E163" i="1"/>
  <c r="E151" i="1"/>
  <c r="E99" i="1"/>
  <c r="E98" i="1"/>
  <c r="E97" i="1"/>
  <c r="E96" i="1"/>
  <c r="E92" i="1"/>
  <c r="E94" i="1"/>
  <c r="E91" i="1"/>
  <c r="E84" i="1"/>
  <c r="E89" i="1"/>
  <c r="E88" i="1"/>
  <c r="E87" i="1"/>
  <c r="E86" i="1"/>
  <c r="E82" i="1"/>
  <c r="E81" i="1"/>
  <c r="E71" i="1"/>
  <c r="E70" i="1"/>
  <c r="E63" i="1"/>
  <c r="E62" i="1"/>
  <c r="E60" i="1"/>
  <c r="E53" i="1"/>
  <c r="E52" i="1"/>
  <c r="E50" i="1"/>
  <c r="E40" i="1"/>
  <c r="N406" i="1"/>
  <c r="O406" i="1"/>
  <c r="P406" i="1"/>
  <c r="Q406" i="1"/>
  <c r="N401" i="1"/>
  <c r="N396" i="1" s="1"/>
  <c r="O401" i="1"/>
  <c r="P401" i="1"/>
  <c r="Q401" i="1"/>
  <c r="N378" i="1"/>
  <c r="O378" i="1"/>
  <c r="P378" i="1"/>
  <c r="Q378" i="1"/>
  <c r="N375" i="1"/>
  <c r="N369" i="1" s="1"/>
  <c r="O375" i="1"/>
  <c r="O369" i="1" s="1"/>
  <c r="P375" i="1"/>
  <c r="P369" i="1" s="1"/>
  <c r="Q375" i="1"/>
  <c r="Q369" i="1" s="1"/>
  <c r="M375" i="1"/>
  <c r="N371" i="1"/>
  <c r="O371" i="1"/>
  <c r="P371" i="1"/>
  <c r="Q371" i="1"/>
  <c r="N368" i="1"/>
  <c r="O368" i="1"/>
  <c r="P368" i="1"/>
  <c r="Q368" i="1"/>
  <c r="N361" i="1"/>
  <c r="O361" i="1"/>
  <c r="P361" i="1"/>
  <c r="Q361" i="1"/>
  <c r="N360" i="1"/>
  <c r="O360" i="1"/>
  <c r="P360" i="1"/>
  <c r="Q360" i="1"/>
  <c r="N344" i="1"/>
  <c r="N339" i="1" s="1"/>
  <c r="O344" i="1"/>
  <c r="O339" i="1" s="1"/>
  <c r="P344" i="1"/>
  <c r="P339" i="1" s="1"/>
  <c r="Q344" i="1"/>
  <c r="Q339" i="1" s="1"/>
  <c r="N342" i="1"/>
  <c r="O342" i="1"/>
  <c r="P342" i="1"/>
  <c r="Q342" i="1"/>
  <c r="N329" i="1"/>
  <c r="O329" i="1"/>
  <c r="P329" i="1"/>
  <c r="Q329" i="1"/>
  <c r="N324" i="1"/>
  <c r="N319" i="1" s="1"/>
  <c r="O324" i="1"/>
  <c r="P324" i="1"/>
  <c r="Q324" i="1"/>
  <c r="N323" i="1"/>
  <c r="O323" i="1"/>
  <c r="P323" i="1"/>
  <c r="Q323" i="1"/>
  <c r="N322" i="1"/>
  <c r="O322" i="1"/>
  <c r="P322" i="1"/>
  <c r="Q322" i="1"/>
  <c r="N321" i="1"/>
  <c r="O321" i="1"/>
  <c r="P321" i="1"/>
  <c r="Q321" i="1"/>
  <c r="N314" i="1"/>
  <c r="O314" i="1"/>
  <c r="P314" i="1"/>
  <c r="Q314" i="1"/>
  <c r="N309" i="1"/>
  <c r="O309" i="1"/>
  <c r="P309" i="1"/>
  <c r="Q309" i="1"/>
  <c r="N304" i="1"/>
  <c r="O304" i="1"/>
  <c r="P304" i="1"/>
  <c r="Q304" i="1"/>
  <c r="N299" i="1"/>
  <c r="O299" i="1"/>
  <c r="P299" i="1"/>
  <c r="Q299" i="1"/>
  <c r="N289" i="1"/>
  <c r="O289" i="1"/>
  <c r="P289" i="1"/>
  <c r="Q289" i="1"/>
  <c r="N260" i="1"/>
  <c r="N255" i="1" s="1"/>
  <c r="O260" i="1"/>
  <c r="O255" i="1" s="1"/>
  <c r="P260" i="1"/>
  <c r="P255" i="1" s="1"/>
  <c r="Q260" i="1"/>
  <c r="Q255" i="1" s="1"/>
  <c r="N220" i="1"/>
  <c r="O220" i="1"/>
  <c r="P220" i="1"/>
  <c r="Q220" i="1"/>
  <c r="N215" i="1"/>
  <c r="O215" i="1"/>
  <c r="P215" i="1"/>
  <c r="Q215" i="1"/>
  <c r="N210" i="1"/>
  <c r="O210" i="1"/>
  <c r="P210" i="1"/>
  <c r="Q210" i="1"/>
  <c r="N205" i="1"/>
  <c r="O205" i="1"/>
  <c r="P205" i="1"/>
  <c r="Q205" i="1"/>
  <c r="N200" i="1"/>
  <c r="O200" i="1"/>
  <c r="P200" i="1"/>
  <c r="Q200" i="1"/>
  <c r="N195" i="1"/>
  <c r="O195" i="1"/>
  <c r="P195" i="1"/>
  <c r="Q195" i="1"/>
  <c r="N190" i="1"/>
  <c r="O190" i="1"/>
  <c r="P190" i="1"/>
  <c r="Q190" i="1"/>
  <c r="N184" i="1"/>
  <c r="O184" i="1"/>
  <c r="P184" i="1"/>
  <c r="Q184" i="1"/>
  <c r="N178" i="1"/>
  <c r="O178" i="1"/>
  <c r="P178" i="1"/>
  <c r="Q178" i="1"/>
  <c r="N172" i="1"/>
  <c r="O172" i="1"/>
  <c r="P172" i="1"/>
  <c r="Q172" i="1"/>
  <c r="N162" i="1"/>
  <c r="N146" i="1" s="1"/>
  <c r="O162" i="1"/>
  <c r="O146" i="1" s="1"/>
  <c r="P162" i="1"/>
  <c r="P146" i="1" s="1"/>
  <c r="Q162" i="1"/>
  <c r="Q146" i="1" s="1"/>
  <c r="N150" i="1"/>
  <c r="O150" i="1"/>
  <c r="P150" i="1"/>
  <c r="Q150" i="1"/>
  <c r="M150" i="1"/>
  <c r="N147" i="1"/>
  <c r="O147" i="1"/>
  <c r="P147" i="1"/>
  <c r="Q147" i="1"/>
  <c r="N95" i="1"/>
  <c r="O95" i="1"/>
  <c r="P95" i="1"/>
  <c r="Q95" i="1"/>
  <c r="N90" i="1"/>
  <c r="O90" i="1"/>
  <c r="P90" i="1"/>
  <c r="Q90" i="1"/>
  <c r="M90" i="1"/>
  <c r="N85" i="1"/>
  <c r="O85" i="1"/>
  <c r="P85" i="1"/>
  <c r="Q85" i="1"/>
  <c r="N80" i="1"/>
  <c r="O80" i="1"/>
  <c r="P80" i="1"/>
  <c r="Q80" i="1"/>
  <c r="M80" i="1"/>
  <c r="N69" i="1"/>
  <c r="O69" i="1"/>
  <c r="P69" i="1"/>
  <c r="Q69" i="1"/>
  <c r="N59" i="1"/>
  <c r="O59" i="1"/>
  <c r="P59" i="1"/>
  <c r="Q59" i="1"/>
  <c r="M59" i="1"/>
  <c r="N49" i="1"/>
  <c r="O49" i="1"/>
  <c r="P49" i="1"/>
  <c r="Q49" i="1"/>
  <c r="M49" i="1"/>
  <c r="M39" i="1"/>
  <c r="N39" i="1"/>
  <c r="O39" i="1"/>
  <c r="P39" i="1"/>
  <c r="Q39" i="1"/>
  <c r="N38" i="1"/>
  <c r="N33" i="1" s="1"/>
  <c r="O38" i="1"/>
  <c r="O33" i="1" s="1"/>
  <c r="P38" i="1"/>
  <c r="P33" i="1" s="1"/>
  <c r="Q38" i="1"/>
  <c r="Q33" i="1" s="1"/>
  <c r="N37" i="1"/>
  <c r="O37" i="1"/>
  <c r="P37" i="1"/>
  <c r="Q37" i="1"/>
  <c r="N29" i="1"/>
  <c r="P29" i="1"/>
  <c r="N34" i="1"/>
  <c r="O34" i="1"/>
  <c r="P34" i="1"/>
  <c r="Q34" i="1"/>
  <c r="M32" i="1"/>
  <c r="N32" i="1"/>
  <c r="N23" i="1" s="1"/>
  <c r="O32" i="1"/>
  <c r="P32" i="1"/>
  <c r="P23" i="1" s="1"/>
  <c r="Q32" i="1"/>
  <c r="O30" i="1"/>
  <c r="O21" i="1" s="1"/>
  <c r="P30" i="1"/>
  <c r="P21" i="1" s="1"/>
  <c r="Q30" i="1"/>
  <c r="Q21" i="1" s="1"/>
  <c r="N16" i="1"/>
  <c r="O25" i="1"/>
  <c r="O16" i="1" s="1"/>
  <c r="P25" i="1"/>
  <c r="P16" i="1" s="1"/>
  <c r="Q25" i="1"/>
  <c r="N21" i="1"/>
  <c r="O294" i="1" l="1"/>
  <c r="Q319" i="1"/>
  <c r="P319" i="1"/>
  <c r="Q396" i="1"/>
  <c r="N359" i="1"/>
  <c r="O26" i="1"/>
  <c r="O17" i="1" s="1"/>
  <c r="O29" i="1"/>
  <c r="O20" i="1" s="1"/>
  <c r="AH17" i="1" s="1"/>
  <c r="N20" i="1"/>
  <c r="Q29" i="1"/>
  <c r="Q20" i="1" s="1"/>
  <c r="P396" i="1"/>
  <c r="P359" i="1"/>
  <c r="N365" i="1"/>
  <c r="P294" i="1"/>
  <c r="N294" i="1"/>
  <c r="O359" i="1"/>
  <c r="O396" i="1"/>
  <c r="P20" i="1"/>
  <c r="O365" i="1"/>
  <c r="P365" i="1"/>
  <c r="O23" i="1"/>
  <c r="P26" i="1"/>
  <c r="P17" i="1" s="1"/>
  <c r="O319" i="1"/>
  <c r="Q365" i="1"/>
  <c r="Q23" i="1"/>
  <c r="Q359" i="1"/>
  <c r="Q294" i="1"/>
  <c r="Q26" i="1"/>
  <c r="Q17" i="1" s="1"/>
  <c r="Q16" i="1"/>
  <c r="N15" i="1" l="1"/>
  <c r="P24" i="1"/>
  <c r="AF17" i="1"/>
  <c r="AF24" i="1" s="1"/>
  <c r="AH24" i="1"/>
  <c r="AL17" i="1"/>
  <c r="AJ17" i="1"/>
  <c r="O24" i="1"/>
  <c r="P15" i="1"/>
  <c r="O15" i="1"/>
  <c r="Q15" i="1"/>
  <c r="Q24" i="1"/>
  <c r="E213" i="1"/>
  <c r="K69" i="1"/>
  <c r="K175" i="1" l="1"/>
  <c r="M220" i="1" l="1"/>
  <c r="L220" i="1"/>
  <c r="K220" i="1"/>
  <c r="J220" i="1"/>
  <c r="I220" i="1"/>
  <c r="H220" i="1"/>
  <c r="G220" i="1"/>
  <c r="F220" i="1"/>
  <c r="E220" i="1" l="1"/>
  <c r="E208" i="1"/>
  <c r="J259" i="1" l="1"/>
  <c r="J258" i="1"/>
  <c r="J257" i="1"/>
  <c r="J256" i="1"/>
  <c r="I259" i="1"/>
  <c r="I258" i="1"/>
  <c r="I257" i="1"/>
  <c r="I256" i="1"/>
  <c r="H259" i="1"/>
  <c r="H258" i="1"/>
  <c r="H257" i="1"/>
  <c r="H256" i="1"/>
  <c r="G259" i="1"/>
  <c r="G258" i="1"/>
  <c r="G257" i="1"/>
  <c r="G256" i="1"/>
  <c r="M259" i="1"/>
  <c r="M258" i="1"/>
  <c r="M20" i="1" s="1"/>
  <c r="M257" i="1"/>
  <c r="M256" i="1"/>
  <c r="L256" i="1"/>
  <c r="L257" i="1"/>
  <c r="L258" i="1"/>
  <c r="L29" i="1" s="1"/>
  <c r="L259" i="1"/>
  <c r="K256" i="1"/>
  <c r="K257" i="1"/>
  <c r="K258" i="1"/>
  <c r="K259" i="1"/>
  <c r="M260" i="1"/>
  <c r="M255" i="1" s="1"/>
  <c r="L260" i="1"/>
  <c r="L255" i="1" s="1"/>
  <c r="K260" i="1"/>
  <c r="K255" i="1" s="1"/>
  <c r="J260" i="1"/>
  <c r="J255" i="1" s="1"/>
  <c r="I260" i="1"/>
  <c r="I255" i="1" s="1"/>
  <c r="H260" i="1"/>
  <c r="H255" i="1" s="1"/>
  <c r="G260" i="1"/>
  <c r="G255" i="1" s="1"/>
  <c r="F260" i="1"/>
  <c r="E218" i="1" l="1"/>
  <c r="E260" i="1"/>
  <c r="E255" i="1" s="1"/>
  <c r="M321" i="1"/>
  <c r="K326" i="1"/>
  <c r="E347" i="1"/>
  <c r="K197" i="1"/>
  <c r="E197" i="1" l="1"/>
  <c r="K148" i="1"/>
  <c r="E212" i="1"/>
  <c r="J404" i="1" l="1"/>
  <c r="J203" i="1"/>
  <c r="E203" i="1" s="1"/>
  <c r="J148" i="1" l="1"/>
  <c r="K198" i="1"/>
  <c r="K149" i="1" s="1"/>
  <c r="E198" i="1" l="1"/>
  <c r="M215" i="1"/>
  <c r="L215" i="1"/>
  <c r="K215" i="1"/>
  <c r="J215" i="1"/>
  <c r="I215" i="1"/>
  <c r="H215" i="1"/>
  <c r="G215" i="1"/>
  <c r="F215" i="1"/>
  <c r="E215" i="1" l="1"/>
  <c r="R147" i="1"/>
  <c r="M95" i="1" l="1"/>
  <c r="L95" i="1"/>
  <c r="K95" i="1"/>
  <c r="J95" i="1"/>
  <c r="E95" i="1" l="1"/>
  <c r="K32" i="1"/>
  <c r="E377" i="1"/>
  <c r="E341" i="1"/>
  <c r="E153" i="1"/>
  <c r="E154" i="1"/>
  <c r="E155" i="1"/>
  <c r="E156" i="1"/>
  <c r="E158" i="1"/>
  <c r="E159" i="1"/>
  <c r="E160" i="1"/>
  <c r="E161" i="1"/>
  <c r="E168" i="1"/>
  <c r="E169" i="1"/>
  <c r="E170" i="1"/>
  <c r="E171" i="1"/>
  <c r="M406" i="1"/>
  <c r="M401" i="1"/>
  <c r="M390" i="1"/>
  <c r="M389" i="1" s="1"/>
  <c r="M384" i="1"/>
  <c r="M378" i="1"/>
  <c r="M369" i="1"/>
  <c r="M371" i="1"/>
  <c r="M368" i="1"/>
  <c r="M364" i="1"/>
  <c r="M361" i="1"/>
  <c r="M360" i="1"/>
  <c r="M354" i="1"/>
  <c r="M349" i="1"/>
  <c r="M344" i="1"/>
  <c r="M339" i="1" s="1"/>
  <c r="M334" i="1"/>
  <c r="M329" i="1"/>
  <c r="M324" i="1"/>
  <c r="M323" i="1"/>
  <c r="M322" i="1"/>
  <c r="M314" i="1"/>
  <c r="M309" i="1"/>
  <c r="M304" i="1"/>
  <c r="M303" i="1"/>
  <c r="M298" i="1" s="1"/>
  <c r="M299" i="1"/>
  <c r="M297" i="1"/>
  <c r="M296" i="1"/>
  <c r="M295" i="1"/>
  <c r="M290" i="1"/>
  <c r="M210" i="1"/>
  <c r="M205" i="1"/>
  <c r="M200" i="1"/>
  <c r="M195" i="1"/>
  <c r="M190" i="1"/>
  <c r="M184" i="1"/>
  <c r="M178" i="1"/>
  <c r="M172" i="1"/>
  <c r="M162" i="1"/>
  <c r="M157" i="1"/>
  <c r="M152" i="1"/>
  <c r="M147" i="1"/>
  <c r="M85" i="1"/>
  <c r="M75" i="1"/>
  <c r="M64" i="1"/>
  <c r="M38" i="1"/>
  <c r="M33" i="1" s="1"/>
  <c r="M37" i="1"/>
  <c r="M34" i="1"/>
  <c r="M30" i="1"/>
  <c r="M25" i="1"/>
  <c r="M16" i="1" s="1"/>
  <c r="M24" i="1" l="1"/>
  <c r="M146" i="1"/>
  <c r="M365" i="1"/>
  <c r="M21" i="1"/>
  <c r="M396" i="1"/>
  <c r="M293" i="1"/>
  <c r="M23" i="1" s="1"/>
  <c r="M294" i="1"/>
  <c r="M319" i="1"/>
  <c r="M291" i="1"/>
  <c r="M289" i="1" s="1"/>
  <c r="J165" i="1"/>
  <c r="W8" i="1" l="1"/>
  <c r="M15" i="1" l="1"/>
  <c r="AD17" i="1"/>
  <c r="AD24" i="1" s="1"/>
  <c r="J378" i="1"/>
  <c r="J375" i="1"/>
  <c r="J149" i="1" l="1"/>
  <c r="J326" i="1"/>
  <c r="I409" i="1" l="1"/>
  <c r="I406" i="1" s="1"/>
  <c r="H409" i="1"/>
  <c r="L406" i="1"/>
  <c r="K406" i="1"/>
  <c r="J406" i="1"/>
  <c r="H406" i="1"/>
  <c r="G406" i="1"/>
  <c r="G396" i="1" s="1"/>
  <c r="F406" i="1"/>
  <c r="J399" i="1"/>
  <c r="I404" i="1"/>
  <c r="H404" i="1"/>
  <c r="L401" i="1"/>
  <c r="K401" i="1"/>
  <c r="I401" i="1"/>
  <c r="H401" i="1"/>
  <c r="L399" i="1"/>
  <c r="K399" i="1"/>
  <c r="E395" i="1"/>
  <c r="E394" i="1"/>
  <c r="E393" i="1"/>
  <c r="E392" i="1"/>
  <c r="E391" i="1"/>
  <c r="L390" i="1"/>
  <c r="L389" i="1" s="1"/>
  <c r="K390" i="1"/>
  <c r="K389" i="1" s="1"/>
  <c r="J390" i="1"/>
  <c r="J389" i="1" s="1"/>
  <c r="I390" i="1"/>
  <c r="I389" i="1" s="1"/>
  <c r="H390" i="1"/>
  <c r="H389" i="1" s="1"/>
  <c r="G390" i="1"/>
  <c r="G389" i="1" s="1"/>
  <c r="E388" i="1"/>
  <c r="E387" i="1"/>
  <c r="E386" i="1"/>
  <c r="E385" i="1"/>
  <c r="L384" i="1"/>
  <c r="K384" i="1"/>
  <c r="J384" i="1"/>
  <c r="I384" i="1"/>
  <c r="H384" i="1"/>
  <c r="G384" i="1"/>
  <c r="K378" i="1"/>
  <c r="I381" i="1"/>
  <c r="I378" i="1" s="1"/>
  <c r="H381" i="1"/>
  <c r="G381" i="1"/>
  <c r="L375" i="1"/>
  <c r="L369" i="1" s="1"/>
  <c r="K375" i="1"/>
  <c r="K369" i="1" s="1"/>
  <c r="I375" i="1"/>
  <c r="I369" i="1" s="1"/>
  <c r="H375" i="1"/>
  <c r="I374" i="1"/>
  <c r="I371" i="1" s="1"/>
  <c r="H374" i="1"/>
  <c r="H371" i="1" s="1"/>
  <c r="G374" i="1"/>
  <c r="L371" i="1"/>
  <c r="K371" i="1"/>
  <c r="J371" i="1"/>
  <c r="J369" i="1"/>
  <c r="G369" i="1"/>
  <c r="L364" i="1"/>
  <c r="K364" i="1"/>
  <c r="J364" i="1"/>
  <c r="I364" i="1"/>
  <c r="H364" i="1"/>
  <c r="G364" i="1"/>
  <c r="G363" i="1"/>
  <c r="E363" i="1" s="1"/>
  <c r="J362" i="1"/>
  <c r="L361" i="1"/>
  <c r="K361" i="1"/>
  <c r="J361" i="1"/>
  <c r="I361" i="1"/>
  <c r="H361" i="1"/>
  <c r="G361" i="1"/>
  <c r="F361" i="1"/>
  <c r="L360" i="1"/>
  <c r="K360" i="1"/>
  <c r="J360" i="1"/>
  <c r="I360" i="1"/>
  <c r="H360" i="1"/>
  <c r="G360" i="1"/>
  <c r="F360" i="1"/>
  <c r="E358" i="1"/>
  <c r="E357" i="1"/>
  <c r="E356" i="1"/>
  <c r="E355" i="1"/>
  <c r="L354" i="1"/>
  <c r="K354" i="1"/>
  <c r="J354" i="1"/>
  <c r="I354" i="1"/>
  <c r="H354" i="1"/>
  <c r="G354" i="1"/>
  <c r="F354" i="1"/>
  <c r="E353" i="1"/>
  <c r="E352" i="1"/>
  <c r="E351" i="1"/>
  <c r="E350" i="1"/>
  <c r="L349" i="1"/>
  <c r="K349" i="1"/>
  <c r="J349" i="1"/>
  <c r="I349" i="1"/>
  <c r="H349" i="1"/>
  <c r="G349" i="1"/>
  <c r="F349" i="1"/>
  <c r="L344" i="1"/>
  <c r="L339" i="1" s="1"/>
  <c r="K344" i="1"/>
  <c r="J344" i="1"/>
  <c r="J339" i="1" s="1"/>
  <c r="I344" i="1"/>
  <c r="I339" i="1" s="1"/>
  <c r="H344" i="1"/>
  <c r="H339" i="1" s="1"/>
  <c r="G344" i="1"/>
  <c r="G339" i="1" s="1"/>
  <c r="F344" i="1"/>
  <c r="L342" i="1"/>
  <c r="K342" i="1"/>
  <c r="J342" i="1"/>
  <c r="I342" i="1"/>
  <c r="H342" i="1"/>
  <c r="G342" i="1"/>
  <c r="E338" i="1"/>
  <c r="E337" i="1"/>
  <c r="E336" i="1"/>
  <c r="E335" i="1"/>
  <c r="L334" i="1"/>
  <c r="K334" i="1"/>
  <c r="J334" i="1"/>
  <c r="I334" i="1"/>
  <c r="H334" i="1"/>
  <c r="G334" i="1"/>
  <c r="F334" i="1"/>
  <c r="I332" i="1"/>
  <c r="I329" i="1" s="1"/>
  <c r="G332" i="1"/>
  <c r="L329" i="1"/>
  <c r="K329" i="1"/>
  <c r="J329" i="1"/>
  <c r="H329" i="1"/>
  <c r="F329" i="1"/>
  <c r="I327" i="1"/>
  <c r="H327" i="1"/>
  <c r="H322" i="1" s="1"/>
  <c r="G327" i="1"/>
  <c r="L324" i="1"/>
  <c r="K321" i="1"/>
  <c r="I326" i="1"/>
  <c r="I321" i="1" s="1"/>
  <c r="H326" i="1"/>
  <c r="H321" i="1" s="1"/>
  <c r="G326" i="1"/>
  <c r="K324" i="1"/>
  <c r="J324" i="1"/>
  <c r="F324" i="1"/>
  <c r="L323" i="1"/>
  <c r="K323" i="1"/>
  <c r="J323" i="1"/>
  <c r="I323" i="1"/>
  <c r="H323" i="1"/>
  <c r="G323" i="1"/>
  <c r="L322" i="1"/>
  <c r="K322" i="1"/>
  <c r="J322" i="1"/>
  <c r="J296" i="1"/>
  <c r="I316" i="1"/>
  <c r="I314" i="1" s="1"/>
  <c r="H316" i="1"/>
  <c r="H314" i="1" s="1"/>
  <c r="G316" i="1"/>
  <c r="L314" i="1"/>
  <c r="K314" i="1"/>
  <c r="J314" i="1"/>
  <c r="F314" i="1"/>
  <c r="H311" i="1"/>
  <c r="H309" i="1" s="1"/>
  <c r="G311" i="1"/>
  <c r="L309" i="1"/>
  <c r="K309" i="1"/>
  <c r="J309" i="1"/>
  <c r="I309" i="1"/>
  <c r="F309" i="1"/>
  <c r="I306" i="1"/>
  <c r="I304" i="1" s="1"/>
  <c r="H306" i="1"/>
  <c r="L304" i="1"/>
  <c r="K304" i="1"/>
  <c r="J304" i="1"/>
  <c r="G304" i="1"/>
  <c r="F304" i="1"/>
  <c r="L303" i="1"/>
  <c r="K303" i="1" s="1"/>
  <c r="L299" i="1"/>
  <c r="K299" i="1"/>
  <c r="G301" i="1"/>
  <c r="E301" i="1" s="1"/>
  <c r="J299" i="1"/>
  <c r="I299" i="1"/>
  <c r="H299" i="1"/>
  <c r="F299" i="1"/>
  <c r="L297" i="1"/>
  <c r="K297" i="1"/>
  <c r="J297" i="1"/>
  <c r="I297" i="1"/>
  <c r="H297" i="1"/>
  <c r="G297" i="1"/>
  <c r="L296" i="1"/>
  <c r="L295" i="1"/>
  <c r="K295" i="1"/>
  <c r="J295" i="1"/>
  <c r="I295" i="1"/>
  <c r="H295" i="1"/>
  <c r="G295" i="1"/>
  <c r="L292" i="1"/>
  <c r="K292" i="1"/>
  <c r="J292" i="1"/>
  <c r="F292" i="1"/>
  <c r="F291" i="1"/>
  <c r="L290" i="1"/>
  <c r="K290" i="1"/>
  <c r="J290" i="1"/>
  <c r="I290" i="1"/>
  <c r="H290" i="1"/>
  <c r="G290" i="1"/>
  <c r="F290" i="1"/>
  <c r="L210" i="1"/>
  <c r="K210" i="1"/>
  <c r="J210" i="1"/>
  <c r="I210" i="1"/>
  <c r="H210" i="1"/>
  <c r="G210" i="1"/>
  <c r="F210" i="1"/>
  <c r="L205" i="1"/>
  <c r="K205" i="1"/>
  <c r="J205" i="1"/>
  <c r="I205" i="1"/>
  <c r="H205" i="1"/>
  <c r="G205" i="1"/>
  <c r="F205" i="1"/>
  <c r="L200" i="1"/>
  <c r="K200" i="1"/>
  <c r="J200" i="1"/>
  <c r="I200" i="1"/>
  <c r="H200" i="1"/>
  <c r="G200" i="1"/>
  <c r="L195" i="1"/>
  <c r="K195" i="1"/>
  <c r="J195" i="1"/>
  <c r="I195" i="1"/>
  <c r="H195" i="1"/>
  <c r="G195" i="1"/>
  <c r="F195" i="1"/>
  <c r="L190" i="1"/>
  <c r="K190" i="1"/>
  <c r="J190" i="1"/>
  <c r="I190" i="1"/>
  <c r="H190" i="1"/>
  <c r="G190" i="1"/>
  <c r="F190" i="1"/>
  <c r="G188" i="1"/>
  <c r="E188" i="1" s="1"/>
  <c r="L184" i="1"/>
  <c r="K184" i="1"/>
  <c r="J184" i="1"/>
  <c r="I184" i="1"/>
  <c r="H184" i="1"/>
  <c r="G184" i="1"/>
  <c r="L178" i="1"/>
  <c r="K178" i="1"/>
  <c r="J178" i="1"/>
  <c r="I178" i="1"/>
  <c r="H178" i="1"/>
  <c r="G178" i="1"/>
  <c r="G176" i="1"/>
  <c r="E176" i="1" s="1"/>
  <c r="I175" i="1"/>
  <c r="I172" i="1" s="1"/>
  <c r="H175" i="1"/>
  <c r="H172" i="1" s="1"/>
  <c r="G175" i="1"/>
  <c r="L172" i="1"/>
  <c r="K172" i="1"/>
  <c r="J172" i="1"/>
  <c r="F172" i="1"/>
  <c r="J167" i="1"/>
  <c r="I167" i="1"/>
  <c r="H167" i="1"/>
  <c r="G167" i="1"/>
  <c r="F167" i="1"/>
  <c r="I165" i="1"/>
  <c r="H165" i="1"/>
  <c r="L162" i="1"/>
  <c r="K162" i="1"/>
  <c r="J162" i="1"/>
  <c r="G162" i="1"/>
  <c r="F162" i="1"/>
  <c r="L157" i="1"/>
  <c r="K157" i="1"/>
  <c r="J157" i="1"/>
  <c r="I157" i="1"/>
  <c r="H157" i="1"/>
  <c r="G157" i="1"/>
  <c r="F157" i="1"/>
  <c r="L152" i="1"/>
  <c r="K152" i="1"/>
  <c r="J152" i="1"/>
  <c r="I152" i="1"/>
  <c r="H152" i="1"/>
  <c r="G152" i="1"/>
  <c r="F152" i="1"/>
  <c r="L150" i="1"/>
  <c r="K150" i="1"/>
  <c r="J150" i="1"/>
  <c r="I150" i="1"/>
  <c r="H150" i="1"/>
  <c r="I148" i="1"/>
  <c r="H148" i="1"/>
  <c r="G148" i="1"/>
  <c r="V147" i="1"/>
  <c r="U147" i="1"/>
  <c r="T147" i="1"/>
  <c r="S147" i="1"/>
  <c r="L147" i="1"/>
  <c r="K147" i="1"/>
  <c r="J147" i="1"/>
  <c r="I147" i="1"/>
  <c r="H147" i="1"/>
  <c r="G147" i="1"/>
  <c r="I93" i="1"/>
  <c r="I90" i="1" s="1"/>
  <c r="H93" i="1"/>
  <c r="L90" i="1"/>
  <c r="K90" i="1"/>
  <c r="J90" i="1"/>
  <c r="G90" i="1"/>
  <c r="F90" i="1"/>
  <c r="L85" i="1"/>
  <c r="K85" i="1"/>
  <c r="J85" i="1"/>
  <c r="I85" i="1"/>
  <c r="H85" i="1"/>
  <c r="G85" i="1"/>
  <c r="F85" i="1"/>
  <c r="I83" i="1"/>
  <c r="I80" i="1" s="1"/>
  <c r="H83" i="1"/>
  <c r="H80" i="1" s="1"/>
  <c r="L80" i="1"/>
  <c r="K80" i="1"/>
  <c r="J80" i="1"/>
  <c r="G80" i="1"/>
  <c r="F80" i="1"/>
  <c r="E79" i="1"/>
  <c r="E78" i="1"/>
  <c r="E77" i="1"/>
  <c r="E76" i="1"/>
  <c r="L75" i="1"/>
  <c r="K75" i="1"/>
  <c r="J75" i="1"/>
  <c r="I75" i="1"/>
  <c r="H75" i="1"/>
  <c r="G75" i="1"/>
  <c r="F75" i="1"/>
  <c r="G74" i="1"/>
  <c r="G73" i="1"/>
  <c r="J69" i="1"/>
  <c r="I72" i="1"/>
  <c r="I69" i="1" s="1"/>
  <c r="H72" i="1"/>
  <c r="H69" i="1" s="1"/>
  <c r="G72" i="1"/>
  <c r="L69" i="1"/>
  <c r="F69" i="1"/>
  <c r="E68" i="1"/>
  <c r="E67" i="1"/>
  <c r="E66" i="1"/>
  <c r="E65" i="1"/>
  <c r="L64" i="1"/>
  <c r="K64" i="1"/>
  <c r="J64" i="1"/>
  <c r="I64" i="1"/>
  <c r="H64" i="1"/>
  <c r="G64" i="1"/>
  <c r="F64" i="1"/>
  <c r="J35" i="1"/>
  <c r="J26" i="1" s="1"/>
  <c r="I61" i="1"/>
  <c r="I59" i="1" s="1"/>
  <c r="H61" i="1"/>
  <c r="H59" i="1" s="1"/>
  <c r="G61" i="1"/>
  <c r="L59" i="1"/>
  <c r="K59" i="1"/>
  <c r="F59" i="1"/>
  <c r="E58" i="1"/>
  <c r="E57" i="1"/>
  <c r="E56" i="1"/>
  <c r="E55" i="1"/>
  <c r="L54" i="1"/>
  <c r="K54" i="1"/>
  <c r="J54" i="1"/>
  <c r="I54" i="1"/>
  <c r="H54" i="1"/>
  <c r="G54" i="1"/>
  <c r="F54" i="1"/>
  <c r="I51" i="1"/>
  <c r="I49" i="1" s="1"/>
  <c r="H51" i="1"/>
  <c r="H49" i="1" s="1"/>
  <c r="G51" i="1"/>
  <c r="J49" i="1"/>
  <c r="F49" i="1"/>
  <c r="E48" i="1"/>
  <c r="E47" i="1"/>
  <c r="E46" i="1"/>
  <c r="E45" i="1"/>
  <c r="K44" i="1"/>
  <c r="J44" i="1"/>
  <c r="I44" i="1"/>
  <c r="H44" i="1"/>
  <c r="G44" i="1"/>
  <c r="F44" i="1"/>
  <c r="F42" i="1"/>
  <c r="E42" i="1" s="1"/>
  <c r="H41" i="1"/>
  <c r="H39" i="1" s="1"/>
  <c r="G41" i="1"/>
  <c r="L39" i="1"/>
  <c r="K39" i="1"/>
  <c r="J39" i="1"/>
  <c r="I39" i="1"/>
  <c r="L38" i="1"/>
  <c r="K38" i="1"/>
  <c r="J38" i="1"/>
  <c r="I38" i="1"/>
  <c r="H38" i="1"/>
  <c r="L37" i="1"/>
  <c r="K37" i="1"/>
  <c r="J37" i="1"/>
  <c r="I37" i="1"/>
  <c r="H37" i="1"/>
  <c r="G37" i="1"/>
  <c r="J36" i="1"/>
  <c r="L34" i="1"/>
  <c r="K34" i="1"/>
  <c r="J34" i="1"/>
  <c r="I34" i="1"/>
  <c r="H34" i="1"/>
  <c r="G34" i="1"/>
  <c r="L32" i="1"/>
  <c r="J32" i="1"/>
  <c r="I32" i="1"/>
  <c r="H32" i="1"/>
  <c r="F32" i="1"/>
  <c r="L30" i="1"/>
  <c r="K30" i="1"/>
  <c r="K21" i="1" s="1"/>
  <c r="J30" i="1"/>
  <c r="J21" i="1" s="1"/>
  <c r="I30" i="1"/>
  <c r="I21" i="1" s="1"/>
  <c r="H30" i="1"/>
  <c r="H21" i="1" s="1"/>
  <c r="F26" i="1"/>
  <c r="L25" i="1"/>
  <c r="K25" i="1"/>
  <c r="K16" i="1" s="1"/>
  <c r="G25" i="1"/>
  <c r="G16" i="1" s="1"/>
  <c r="F25" i="1"/>
  <c r="G36" i="1" l="1"/>
  <c r="G29" i="1"/>
  <c r="E73" i="1"/>
  <c r="G30" i="1"/>
  <c r="G21" i="1" s="1"/>
  <c r="I399" i="1"/>
  <c r="E409" i="1"/>
  <c r="L21" i="1"/>
  <c r="L24" i="1"/>
  <c r="L396" i="1"/>
  <c r="L146" i="1"/>
  <c r="G35" i="1"/>
  <c r="K146" i="1"/>
  <c r="H25" i="1"/>
  <c r="H16" i="1" s="1"/>
  <c r="E327" i="1"/>
  <c r="E374" i="1"/>
  <c r="E83" i="1"/>
  <c r="E361" i="1"/>
  <c r="E306" i="1"/>
  <c r="E344" i="1"/>
  <c r="E178" i="1"/>
  <c r="E210" i="1"/>
  <c r="E147" i="1"/>
  <c r="E195" i="1"/>
  <c r="E93" i="1"/>
  <c r="L298" i="1"/>
  <c r="E406" i="1"/>
  <c r="F23" i="1"/>
  <c r="E43" i="1"/>
  <c r="E72" i="1"/>
  <c r="H149" i="1"/>
  <c r="E165" i="1"/>
  <c r="E190" i="1"/>
  <c r="E205" i="1"/>
  <c r="E311" i="1"/>
  <c r="E360" i="1"/>
  <c r="E364" i="1"/>
  <c r="E404" i="1"/>
  <c r="G149" i="1"/>
  <c r="E175" i="1"/>
  <c r="E332" i="1"/>
  <c r="G329" i="1"/>
  <c r="E329" i="1" s="1"/>
  <c r="E34" i="1"/>
  <c r="G39" i="1"/>
  <c r="E41" i="1"/>
  <c r="G38" i="1"/>
  <c r="E38" i="1" s="1"/>
  <c r="E74" i="1"/>
  <c r="E80" i="1"/>
  <c r="E85" i="1"/>
  <c r="E148" i="1"/>
  <c r="E184" i="1"/>
  <c r="E297" i="1"/>
  <c r="E323" i="1"/>
  <c r="E342" i="1"/>
  <c r="G59" i="1"/>
  <c r="E61" i="1"/>
  <c r="E37" i="1"/>
  <c r="G49" i="1"/>
  <c r="E51" i="1"/>
  <c r="E200" i="1"/>
  <c r="E290" i="1"/>
  <c r="E295" i="1"/>
  <c r="G314" i="1"/>
  <c r="E314" i="1" s="1"/>
  <c r="E316" i="1"/>
  <c r="G321" i="1"/>
  <c r="E326" i="1"/>
  <c r="H369" i="1"/>
  <c r="E369" i="1" s="1"/>
  <c r="E375" i="1"/>
  <c r="E381" i="1"/>
  <c r="I322" i="1"/>
  <c r="I292" i="1"/>
  <c r="H399" i="1"/>
  <c r="E399" i="1" s="1"/>
  <c r="H396" i="1"/>
  <c r="G32" i="1"/>
  <c r="E32" i="1" s="1"/>
  <c r="H36" i="1"/>
  <c r="J319" i="1"/>
  <c r="K296" i="1"/>
  <c r="H162" i="1"/>
  <c r="H146" i="1" s="1"/>
  <c r="J59" i="1"/>
  <c r="K291" i="1"/>
  <c r="K289" i="1" s="1"/>
  <c r="G299" i="1"/>
  <c r="E299" i="1" s="1"/>
  <c r="L294" i="1"/>
  <c r="F39" i="1"/>
  <c r="F289" i="1"/>
  <c r="G309" i="1"/>
  <c r="E309" i="1" s="1"/>
  <c r="K319" i="1"/>
  <c r="I149" i="1"/>
  <c r="J25" i="1"/>
  <c r="J16" i="1" s="1"/>
  <c r="H292" i="1"/>
  <c r="L293" i="1"/>
  <c r="L23" i="1" s="1"/>
  <c r="I36" i="1"/>
  <c r="E157" i="1"/>
  <c r="I324" i="1"/>
  <c r="I319" i="1" s="1"/>
  <c r="J294" i="1"/>
  <c r="L319" i="1"/>
  <c r="E384" i="1"/>
  <c r="H90" i="1"/>
  <c r="H33" i="1" s="1"/>
  <c r="H35" i="1"/>
  <c r="H26" i="1" s="1"/>
  <c r="E152" i="1"/>
  <c r="H291" i="1"/>
  <c r="I296" i="1"/>
  <c r="E354" i="1"/>
  <c r="I294" i="1"/>
  <c r="H324" i="1"/>
  <c r="H319" i="1" s="1"/>
  <c r="E349" i="1"/>
  <c r="F362" i="1"/>
  <c r="I35" i="1"/>
  <c r="I26" i="1" s="1"/>
  <c r="H29" i="1"/>
  <c r="E167" i="1"/>
  <c r="K294" i="1"/>
  <c r="I25" i="1"/>
  <c r="I16" i="1" s="1"/>
  <c r="K396" i="1"/>
  <c r="K365" i="1"/>
  <c r="K339" i="1"/>
  <c r="E339" i="1" s="1"/>
  <c r="E44" i="1"/>
  <c r="E54" i="1"/>
  <c r="J146" i="1"/>
  <c r="J365" i="1"/>
  <c r="J359" i="1"/>
  <c r="J29" i="1"/>
  <c r="J20" i="1" s="1"/>
  <c r="I396" i="1"/>
  <c r="L16" i="1"/>
  <c r="I29" i="1"/>
  <c r="E64" i="1"/>
  <c r="G69" i="1"/>
  <c r="K29" i="1"/>
  <c r="I162" i="1"/>
  <c r="I146" i="1" s="1"/>
  <c r="G296" i="1"/>
  <c r="G291" i="1"/>
  <c r="G292" i="1"/>
  <c r="G322" i="1"/>
  <c r="G324" i="1"/>
  <c r="E334" i="1"/>
  <c r="H304" i="1"/>
  <c r="H294" i="1" s="1"/>
  <c r="H378" i="1"/>
  <c r="H365" i="1" s="1"/>
  <c r="H368" i="1"/>
  <c r="F16" i="1"/>
  <c r="I33" i="1"/>
  <c r="K26" i="1"/>
  <c r="K49" i="1"/>
  <c r="E75" i="1"/>
  <c r="L291" i="1"/>
  <c r="L17" i="1" s="1"/>
  <c r="H296" i="1"/>
  <c r="J321" i="1"/>
  <c r="J291" i="1"/>
  <c r="E390" i="1"/>
  <c r="E389" i="1" s="1"/>
  <c r="I365" i="1"/>
  <c r="I362" i="1"/>
  <c r="I359" i="1" s="1"/>
  <c r="L378" i="1"/>
  <c r="L365" i="1" s="1"/>
  <c r="L368" i="1"/>
  <c r="L362" i="1"/>
  <c r="L20" i="1" s="1"/>
  <c r="J303" i="1"/>
  <c r="K293" i="1"/>
  <c r="K23" i="1" s="1"/>
  <c r="K298" i="1"/>
  <c r="F17" i="1"/>
  <c r="I368" i="1"/>
  <c r="J401" i="1"/>
  <c r="J396" i="1" s="1"/>
  <c r="F29" i="1"/>
  <c r="E30" i="1"/>
  <c r="I291" i="1"/>
  <c r="K362" i="1"/>
  <c r="J368" i="1"/>
  <c r="G371" i="1"/>
  <c r="E371" i="1" s="1"/>
  <c r="G26" i="1"/>
  <c r="G150" i="1"/>
  <c r="E150" i="1" s="1"/>
  <c r="G172" i="1"/>
  <c r="E172" i="1" s="1"/>
  <c r="G368" i="1"/>
  <c r="K368" i="1"/>
  <c r="G378" i="1"/>
  <c r="E21" i="1" l="1"/>
  <c r="E36" i="1"/>
  <c r="G33" i="1"/>
  <c r="E322" i="1"/>
  <c r="E292" i="1"/>
  <c r="I289" i="1"/>
  <c r="E324" i="1"/>
  <c r="E49" i="1"/>
  <c r="K17" i="1"/>
  <c r="E396" i="1"/>
  <c r="E378" i="1"/>
  <c r="E59" i="1"/>
  <c r="E26" i="1"/>
  <c r="E291" i="1"/>
  <c r="E29" i="1"/>
  <c r="F359" i="1"/>
  <c r="E39" i="1"/>
  <c r="E149" i="1"/>
  <c r="E304" i="1"/>
  <c r="E35" i="1"/>
  <c r="E321" i="1"/>
  <c r="E69" i="1"/>
  <c r="E296" i="1"/>
  <c r="E25" i="1"/>
  <c r="E368" i="1"/>
  <c r="E16" i="1"/>
  <c r="E401" i="1"/>
  <c r="E90" i="1"/>
  <c r="E162" i="1"/>
  <c r="J33" i="1"/>
  <c r="H24" i="1"/>
  <c r="G294" i="1"/>
  <c r="E294" i="1" s="1"/>
  <c r="H289" i="1"/>
  <c r="G319" i="1"/>
  <c r="E319" i="1" s="1"/>
  <c r="H17" i="1"/>
  <c r="K359" i="1"/>
  <c r="J289" i="1"/>
  <c r="J17" i="1"/>
  <c r="J24" i="1"/>
  <c r="I20" i="1"/>
  <c r="G17" i="1"/>
  <c r="G146" i="1"/>
  <c r="E146" i="1" s="1"/>
  <c r="L359" i="1"/>
  <c r="AB17" i="1"/>
  <c r="AB23" i="1" s="1"/>
  <c r="G289" i="1"/>
  <c r="I24" i="1"/>
  <c r="G365" i="1"/>
  <c r="E365" i="1" s="1"/>
  <c r="G362" i="1"/>
  <c r="G20" i="1" s="1"/>
  <c r="G24" i="1"/>
  <c r="H362" i="1"/>
  <c r="I17" i="1"/>
  <c r="I303" i="1"/>
  <c r="J293" i="1"/>
  <c r="J23" i="1" s="1"/>
  <c r="J298" i="1"/>
  <c r="F20" i="1"/>
  <c r="F24" i="1"/>
  <c r="L289" i="1"/>
  <c r="L15" i="1" l="1"/>
  <c r="E362" i="1"/>
  <c r="E289" i="1"/>
  <c r="E17" i="1"/>
  <c r="E33" i="1"/>
  <c r="K20" i="1"/>
  <c r="E24" i="1"/>
  <c r="V16" i="1"/>
  <c r="AQ15" i="1"/>
  <c r="T11" i="1"/>
  <c r="J15" i="1"/>
  <c r="G359" i="1"/>
  <c r="X17" i="1"/>
  <c r="X24" i="1" s="1"/>
  <c r="AU16" i="1"/>
  <c r="F15" i="1"/>
  <c r="I298" i="1"/>
  <c r="H303" i="1"/>
  <c r="I293" i="1"/>
  <c r="I23" i="1" s="1"/>
  <c r="I15" i="1" s="1"/>
  <c r="H359" i="1"/>
  <c r="H20" i="1"/>
  <c r="E20" i="1" s="1"/>
  <c r="E359" i="1" l="1"/>
  <c r="Z17" i="1"/>
  <c r="K15" i="1"/>
  <c r="AR15" i="1"/>
  <c r="F416" i="1"/>
  <c r="H293" i="1"/>
  <c r="H23" i="1" s="1"/>
  <c r="H15" i="1" s="1"/>
  <c r="H298" i="1"/>
  <c r="G303" i="1"/>
  <c r="AT16" i="1"/>
  <c r="F303" i="1" l="1"/>
  <c r="E303" i="1" s="1"/>
  <c r="G293" i="1"/>
  <c r="E293" i="1" s="1"/>
  <c r="E23" i="1" s="1"/>
  <c r="G298" i="1"/>
  <c r="E298" i="1" s="1"/>
  <c r="G23" i="1" l="1"/>
  <c r="G15" i="1" s="1"/>
  <c r="E15" i="1" s="1"/>
  <c r="X40" i="1" l="1"/>
</calcChain>
</file>

<file path=xl/comments1.xml><?xml version="1.0" encoding="utf-8"?>
<comments xmlns="http://schemas.openxmlformats.org/spreadsheetml/2006/main">
  <authors>
    <author>Kovaleva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переделать как  мониторинге</t>
        </r>
      </text>
    </comment>
    <comment ref="L72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изменено с учетом перераспределения</t>
        </r>
      </text>
    </comment>
    <comment ref="M72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уточнить по софинансировани.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с учетом расхолов по  культуре</t>
        </r>
      </text>
    </comment>
    <comment ref="M113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культура 692,0+136,5
</t>
        </r>
      </text>
    </comment>
    <comment ref="L238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изменено с учетом перераспределения</t>
        </r>
      </text>
    </comment>
    <comment ref="M282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уточнить</t>
        </r>
      </text>
    </comment>
  </commentList>
</comments>
</file>

<file path=xl/sharedStrings.xml><?xml version="1.0" encoding="utf-8"?>
<sst xmlns="http://schemas.openxmlformats.org/spreadsheetml/2006/main" count="630" uniqueCount="208">
  <si>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</si>
  <si>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</si>
  <si>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</si>
  <si>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</si>
  <si>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</si>
  <si>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</si>
  <si>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</si>
  <si>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</si>
  <si>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</si>
  <si>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</si>
  <si>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</si>
  <si>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</si>
  <si>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</si>
  <si>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</si>
  <si>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</si>
  <si>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</si>
  <si>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</si>
  <si>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</si>
  <si>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</si>
  <si>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</si>
  <si>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</si>
  <si>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</si>
  <si>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</si>
  <si>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</si>
  <si>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</si>
  <si>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</si>
  <si>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</si>
  <si>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</si>
  <si>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</si>
  <si>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</si>
  <si>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</si>
  <si>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</si>
  <si>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</si>
  <si>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</si>
  <si>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</si>
  <si>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</si>
  <si>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</si>
  <si>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</si>
  <si>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</si>
  <si>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</si>
  <si>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</si>
  <si>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</si>
  <si>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</si>
  <si>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</si>
  <si>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</si>
  <si>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</si>
  <si>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</si>
  <si>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</si>
  <si>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</si>
  <si>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</si>
  <si>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</si>
  <si>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</si>
  <si>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</si>
  <si>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</si>
  <si>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</si>
  <si>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</si>
  <si>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</si>
  <si>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</si>
  <si>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</si>
  <si>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</si>
  <si>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</si>
  <si>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</si>
  <si>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</si>
  <si>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</si>
  <si>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</si>
  <si>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</si>
  <si>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</si>
  <si>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</si>
  <si>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</si>
  <si>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</si>
  <si>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</si>
  <si>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</si>
  <si>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</si>
  <si>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</si>
  <si>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</si>
  <si>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</si>
  <si>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</si>
  <si>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</si>
  <si>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</si>
  <si>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</si>
  <si>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</si>
  <si>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</si>
  <si>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</si>
  <si>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</si>
  <si>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</si>
  <si>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</si>
  <si>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</si>
  <si>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</si>
  <si>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</si>
  <si>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</si>
  <si>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</si>
  <si>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</si>
  <si>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</si>
  <si>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</si>
  <si>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</si>
  <si>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</si>
  <si>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</si>
  <si>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</si>
  <si>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</si>
  <si>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</si>
  <si>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</si>
  <si>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</si>
  <si>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</si>
  <si>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</si>
  <si>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</si>
  <si>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</si>
  <si>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</si>
  <si>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</si>
  <si>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</si>
  <si>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</si>
  <si>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</si>
  <si>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</si>
  <si>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</si>
  <si>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</si>
  <si>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</si>
  <si>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</si>
  <si>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</si>
  <si>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</si>
  <si>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</si>
  <si>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</si>
  <si>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</si>
  <si>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</si>
  <si>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</si>
  <si>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</si>
  <si>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</si>
  <si>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</si>
  <si>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</si>
  <si>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</si>
  <si>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</si>
  <si>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</si>
  <si>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</si>
  <si>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</si>
  <si>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</si>
  <si>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</si>
  <si>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</si>
  <si>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</si>
  <si>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</si>
  <si>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</si>
  <si>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</si>
  <si>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</si>
  <si>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</si>
  <si>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</si>
  <si>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</si>
  <si>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</si>
  <si>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</si>
  <si>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</si>
  <si>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</si>
  <si>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</si>
  <si>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</si>
  <si>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</si>
  <si>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</si>
  <si>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</si>
  <si>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</si>
  <si>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</si>
  <si>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</si>
  <si>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</si>
  <si>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</si>
  <si>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</si>
  <si>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</si>
  <si>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</si>
  <si>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</si>
  <si>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</si>
  <si>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</si>
  <si>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</si>
  <si>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</si>
  <si>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</si>
  <si>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</si>
  <si>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</si>
  <si>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</si>
  <si>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от _________   № ____ 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</si>
  <si>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</si>
  <si>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</si>
  <si>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</si>
  <si>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</si>
  <si>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</si>
  <si>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</si>
  <si>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</si>
  <si>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</si>
  <si>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</si>
  <si>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</si>
  <si>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r>
      <t xml:space="preserve">* </t>
    </r>
    <r>
      <rPr>
        <sz val="11"/>
        <rFont val="Calibri"/>
        <family val="2"/>
        <charset val="204"/>
      </rPr>
      <t xml:space="preserve">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28.08.2017 № 2807 "</t>
    </r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</si>
  <si>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</si>
  <si>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</si>
  <si>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</si>
  <si>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r>
      <t xml:space="preserve"> </t>
    </r>
    <r>
      <rPr>
        <sz val="11"/>
        <rFont val="Calibri"/>
        <family val="2"/>
        <charset val="204"/>
      </rPr>
      <t xml:space="preserve">***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№3415"</t>
    </r>
  </si>
  <si>
    <t xml:space="preserve">Создание в образовательных организациях условий для  получения детьми - инвалидами качественного образования  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</si>
  <si>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</si>
  <si>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</si>
  <si>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</si>
  <si>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</si>
  <si>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</si>
  <si>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</si>
  <si>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</si>
  <si>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</si>
  <si>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</si>
  <si>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</si>
  <si>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</si>
  <si>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</si>
  <si>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</si>
  <si>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</si>
  <si>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</si>
  <si>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в образовательных организациях</t>
  </si>
  <si>
    <t>*Наименование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</si>
  <si>
    <t xml:space="preserve"> Капитальные вложения в объекты государственной ( муниципальной)  собственности ( Крытый футбольный манеж в квартале 398 г. Благовещенска, Амурская область   (в т.ч. проектные работы)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</si>
  <si>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</si>
  <si>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</si>
  <si>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</si>
  <si>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Приложение № 3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</si>
</sst>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37">
    <xf numFmtId="0" fontId="0" fillId="0" borderId="0" xfId="0"/>
    <xf numFmtId="164" fontId="4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1" fillId="2" borderId="0" xfId="0" applyFont="1" applyFill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64" fontId="4" fillId="2" borderId="4" xfId="0" applyNumberFormat="1" applyFont="1" applyFill="1" applyBorder="1"/>
    <xf numFmtId="164" fontId="4" fillId="2" borderId="7" xfId="0" applyNumberFormat="1" applyFont="1" applyFill="1" applyBorder="1"/>
    <xf numFmtId="164" fontId="1" fillId="2" borderId="0" xfId="0" applyNumberFormat="1" applyFont="1" applyFill="1"/>
    <xf numFmtId="0" fontId="10" fillId="2" borderId="0" xfId="0" applyFont="1" applyFill="1" applyAlignment="1"/>
    <xf numFmtId="0" fontId="1" fillId="2" borderId="0" xfId="0" applyFont="1" applyFill="1" applyBorder="1"/>
    <xf numFmtId="164" fontId="1" fillId="2" borderId="0" xfId="0" applyNumberFormat="1" applyFont="1" applyFill="1" applyAlignment="1">
      <alignment horizontal="left"/>
    </xf>
    <xf numFmtId="164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4" fontId="1" fillId="2" borderId="0" xfId="0" applyNumberFormat="1" applyFont="1" applyFill="1" applyAlignment="1"/>
    <xf numFmtId="4" fontId="1" fillId="2" borderId="0" xfId="0" applyNumberFormat="1" applyFont="1" applyFill="1"/>
    <xf numFmtId="164" fontId="4" fillId="2" borderId="0" xfId="0" applyNumberFormat="1" applyFont="1" applyFill="1" applyBorder="1" applyAlignment="1">
      <alignment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0" fontId="12" fillId="2" borderId="0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164" fontId="4" fillId="2" borderId="9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0" fontId="12" fillId="2" borderId="11" xfId="0" applyFont="1" applyFill="1" applyBorder="1" applyAlignment="1">
      <alignment vertical="top"/>
    </xf>
    <xf numFmtId="0" fontId="4" fillId="2" borderId="7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vertical="top"/>
    </xf>
    <xf numFmtId="0" fontId="4" fillId="2" borderId="6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/>
    <xf numFmtId="0" fontId="4" fillId="2" borderId="2" xfId="0" applyFont="1" applyFill="1" applyBorder="1" applyAlignment="1"/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49" fontId="5" fillId="2" borderId="11" xfId="0" applyNumberFormat="1" applyFont="1" applyFill="1" applyBorder="1" applyAlignment="1">
      <alignment horizontal="center" vertical="top"/>
    </xf>
    <xf numFmtId="0" fontId="12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2" fillId="2" borderId="5" xfId="0" applyFont="1" applyFill="1" applyBorder="1" applyAlignment="1">
      <alignment horizontal="left" vertical="top"/>
    </xf>
    <xf numFmtId="0" fontId="1" fillId="2" borderId="15" xfId="0" applyFont="1" applyFill="1" applyBorder="1"/>
    <xf numFmtId="1" fontId="4" fillId="2" borderId="3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vertical="top"/>
    </xf>
    <xf numFmtId="0" fontId="1" fillId="2" borderId="11" xfId="0" applyFont="1" applyFill="1" applyBorder="1"/>
    <xf numFmtId="0" fontId="5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wrapText="1"/>
    </xf>
    <xf numFmtId="0" fontId="3" fillId="2" borderId="5" xfId="0" applyFont="1" applyFill="1" applyBorder="1" applyAlignment="1">
      <alignment vertical="top"/>
    </xf>
    <xf numFmtId="0" fontId="12" fillId="2" borderId="5" xfId="0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/>
    <xf numFmtId="49" fontId="5" fillId="2" borderId="11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/>
    </xf>
    <xf numFmtId="49" fontId="5" fillId="2" borderId="10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2" fillId="2" borderId="11" xfId="0" applyFont="1" applyFill="1" applyBorder="1" applyAlignment="1">
      <alignment horizontal="center" vertical="top"/>
    </xf>
    <xf numFmtId="49" fontId="14" fillId="2" borderId="0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top"/>
    </xf>
    <xf numFmtId="49" fontId="4" fillId="2" borderId="12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center" wrapText="1"/>
    </xf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4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5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3" fillId="2" borderId="5" xfId="0" applyFont="1" applyFill="1" applyBorder="1" applyAlignment="1">
      <alignment vertical="top"/>
    </xf>
    <xf numFmtId="0" fontId="12" fillId="2" borderId="5" xfId="0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49" fontId="5" fillId="2" borderId="11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/>
    </xf>
    <xf numFmtId="4" fontId="4" fillId="2" borderId="5" xfId="0" applyNumberFormat="1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/>
    </xf>
    <xf numFmtId="1" fontId="5" fillId="2" borderId="6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4" fillId="2" borderId="5" xfId="0" applyFont="1" applyFill="1" applyBorder="1" applyAlignment="1"/>
    <xf numFmtId="0" fontId="0" fillId="0" borderId="5" xfId="0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center" vertical="top"/>
    </xf>
    <xf numFmtId="0" fontId="12" fillId="2" borderId="11" xfId="0" applyFont="1" applyFill="1" applyBorder="1" applyAlignment="1">
      <alignment horizontal="center" vertical="top"/>
    </xf>
    <xf numFmtId="4" fontId="4" fillId="2" borderId="2" xfId="0" applyNumberFormat="1" applyFont="1" applyFill="1" applyBorder="1" applyAlignment="1">
      <alignment horizontal="left" vertical="top" wrapText="1"/>
    </xf>
    <xf numFmtId="4" fontId="5" fillId="2" borderId="2" xfId="0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/>
    </xf>
    <xf numFmtId="0" fontId="0" fillId="0" borderId="5" xfId="0" applyBorder="1" applyAlignment="1">
      <alignment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U420"/>
  <sheetViews>
    <sheetView tabSelected="1" topLeftCell="A9" zoomScale="92" zoomScaleNormal="92" zoomScaleSheetLayoutView="65" workbookViewId="0">
      <pane xSplit="4" ySplit="6" topLeftCell="M15" activePane="bottomRight" state="frozen"/>
      <selection activeCell="A9" sqref="A9"/>
      <selection pane="topRight" activeCell="E9" sqref="E9"/>
      <selection pane="bottomLeft" activeCell="A15" sqref="A15"/>
      <selection pane="bottomRight" activeCell="D256" sqref="D256"/>
    </sheetView>
  </sheetViews>
  <sheetFormatPr defaultColWidth="7.6640625" defaultRowHeight="14.4" x14ac:dyDescent="0.25"/>
  <cols>
    <col min="1" max="1" width="21" style="5" customWidth="1"/>
    <col min="2" max="2" width="43.5546875" style="5" customWidth="1"/>
    <col min="3" max="3" width="31" style="5" hidden="1" customWidth="1"/>
    <col min="4" max="4" width="24.109375" style="5" customWidth="1"/>
    <col min="5" max="5" width="16.44140625" style="5" customWidth="1"/>
    <col min="6" max="6" width="14.109375" style="13" hidden="1" customWidth="1"/>
    <col min="7" max="7" width="15.109375" style="13" customWidth="1"/>
    <col min="8" max="8" width="16.44140625" style="13" customWidth="1"/>
    <col min="9" max="9" width="16.5546875" style="13" customWidth="1"/>
    <col min="10" max="10" width="14.44140625" style="13" customWidth="1"/>
    <col min="11" max="11" width="16.5546875" style="13" customWidth="1"/>
    <col min="12" max="16" width="15.109375" style="13" customWidth="1"/>
    <col min="17" max="17" width="15.6640625" style="13" customWidth="1"/>
    <col min="18" max="19" width="9.109375" style="5" customWidth="1"/>
    <col min="20" max="20" width="11.44140625" style="5" customWidth="1"/>
    <col min="21" max="21" width="9.109375" style="5" customWidth="1"/>
    <col min="22" max="22" width="12" style="5" customWidth="1"/>
    <col min="23" max="24" width="13.109375" style="5" customWidth="1"/>
    <col min="25" max="25" width="9.109375" style="5" customWidth="1"/>
    <col min="26" max="26" width="13.88671875" style="5" customWidth="1"/>
    <col min="27" max="27" width="13.44140625" style="5" customWidth="1"/>
    <col min="28" max="28" width="11.5546875" style="5" customWidth="1"/>
    <col min="29" max="30" width="13.6640625" style="5" customWidth="1"/>
    <col min="31" max="31" width="9.109375" style="5" customWidth="1"/>
    <col min="32" max="32" width="12.33203125" style="5" customWidth="1"/>
    <col min="33" max="33" width="9.109375" style="5" customWidth="1"/>
    <col min="34" max="34" width="11.33203125" style="5" customWidth="1"/>
    <col min="35" max="35" width="9.109375" style="5" customWidth="1"/>
    <col min="36" max="36" width="11.44140625" style="5" customWidth="1"/>
    <col min="37" max="37" width="9.109375" style="5" customWidth="1"/>
    <col min="38" max="38" width="11.6640625" style="5" customWidth="1"/>
    <col min="39" max="42" width="9.109375" style="5" customWidth="1"/>
    <col min="43" max="43" width="13" style="5" customWidth="1"/>
    <col min="44" max="44" width="16.44140625" style="5" customWidth="1"/>
    <col min="45" max="45" width="9.109375" style="5" customWidth="1"/>
    <col min="46" max="46" width="11.6640625" style="5" customWidth="1"/>
    <col min="47" max="47" width="11.88671875" style="5" customWidth="1"/>
    <col min="48" max="266" width="9.109375" style="5" customWidth="1"/>
    <col min="267" max="267" width="56.109375" style="5" customWidth="1"/>
    <col min="268" max="273" width="7.6640625" style="5"/>
    <col min="274" max="274" width="20.44140625" style="5" customWidth="1"/>
    <col min="275" max="275" width="37.44140625" style="5" customWidth="1"/>
    <col min="276" max="276" width="0" style="5" hidden="1" customWidth="1"/>
    <col min="277" max="277" width="27" style="5" customWidth="1"/>
    <col min="278" max="278" width="16.44140625" style="5" customWidth="1"/>
    <col min="279" max="279" width="0" style="5" hidden="1" customWidth="1"/>
    <col min="280" max="280" width="15.109375" style="5" customWidth="1"/>
    <col min="281" max="281" width="16.44140625" style="5" customWidth="1"/>
    <col min="282" max="282" width="16.5546875" style="5" customWidth="1"/>
    <col min="283" max="283" width="14.44140625" style="5" customWidth="1"/>
    <col min="284" max="284" width="16.5546875" style="5" customWidth="1"/>
    <col min="285" max="285" width="15.109375" style="5" customWidth="1"/>
    <col min="286" max="297" width="0" style="5" hidden="1" customWidth="1"/>
    <col min="298" max="298" width="9.109375" style="5" customWidth="1"/>
    <col min="299" max="300" width="0" style="5" hidden="1" customWidth="1"/>
    <col min="301" max="301" width="9.109375" style="5" customWidth="1"/>
    <col min="302" max="303" width="0" style="5" hidden="1" customWidth="1"/>
    <col min="304" max="522" width="9.109375" style="5" customWidth="1"/>
    <col min="523" max="523" width="56.109375" style="5" customWidth="1"/>
    <col min="524" max="529" width="7.6640625" style="5"/>
    <col min="530" max="530" width="20.44140625" style="5" customWidth="1"/>
    <col min="531" max="531" width="37.44140625" style="5" customWidth="1"/>
    <col min="532" max="532" width="0" style="5" hidden="1" customWidth="1"/>
    <col min="533" max="533" width="27" style="5" customWidth="1"/>
    <col min="534" max="534" width="16.44140625" style="5" customWidth="1"/>
    <col min="535" max="535" width="0" style="5" hidden="1" customWidth="1"/>
    <col min="536" max="536" width="15.109375" style="5" customWidth="1"/>
    <col min="537" max="537" width="16.44140625" style="5" customWidth="1"/>
    <col min="538" max="538" width="16.5546875" style="5" customWidth="1"/>
    <col min="539" max="539" width="14.44140625" style="5" customWidth="1"/>
    <col min="540" max="540" width="16.5546875" style="5" customWidth="1"/>
    <col min="541" max="541" width="15.109375" style="5" customWidth="1"/>
    <col min="542" max="553" width="0" style="5" hidden="1" customWidth="1"/>
    <col min="554" max="554" width="9.109375" style="5" customWidth="1"/>
    <col min="555" max="556" width="0" style="5" hidden="1" customWidth="1"/>
    <col min="557" max="557" width="9.109375" style="5" customWidth="1"/>
    <col min="558" max="559" width="0" style="5" hidden="1" customWidth="1"/>
    <col min="560" max="778" width="9.109375" style="5" customWidth="1"/>
    <col min="779" max="779" width="56.109375" style="5" customWidth="1"/>
    <col min="780" max="785" width="7.6640625" style="5"/>
    <col min="786" max="786" width="20.44140625" style="5" customWidth="1"/>
    <col min="787" max="787" width="37.44140625" style="5" customWidth="1"/>
    <col min="788" max="788" width="0" style="5" hidden="1" customWidth="1"/>
    <col min="789" max="789" width="27" style="5" customWidth="1"/>
    <col min="790" max="790" width="16.44140625" style="5" customWidth="1"/>
    <col min="791" max="791" width="0" style="5" hidden="1" customWidth="1"/>
    <col min="792" max="792" width="15.109375" style="5" customWidth="1"/>
    <col min="793" max="793" width="16.44140625" style="5" customWidth="1"/>
    <col min="794" max="794" width="16.5546875" style="5" customWidth="1"/>
    <col min="795" max="795" width="14.44140625" style="5" customWidth="1"/>
    <col min="796" max="796" width="16.5546875" style="5" customWidth="1"/>
    <col min="797" max="797" width="15.109375" style="5" customWidth="1"/>
    <col min="798" max="809" width="0" style="5" hidden="1" customWidth="1"/>
    <col min="810" max="810" width="9.109375" style="5" customWidth="1"/>
    <col min="811" max="812" width="0" style="5" hidden="1" customWidth="1"/>
    <col min="813" max="813" width="9.109375" style="5" customWidth="1"/>
    <col min="814" max="815" width="0" style="5" hidden="1" customWidth="1"/>
    <col min="816" max="1034" width="9.109375" style="5" customWidth="1"/>
    <col min="1035" max="1035" width="56.109375" style="5" customWidth="1"/>
    <col min="1036" max="1041" width="7.6640625" style="5"/>
    <col min="1042" max="1042" width="20.44140625" style="5" customWidth="1"/>
    <col min="1043" max="1043" width="37.44140625" style="5" customWidth="1"/>
    <col min="1044" max="1044" width="0" style="5" hidden="1" customWidth="1"/>
    <col min="1045" max="1045" width="27" style="5" customWidth="1"/>
    <col min="1046" max="1046" width="16.44140625" style="5" customWidth="1"/>
    <col min="1047" max="1047" width="0" style="5" hidden="1" customWidth="1"/>
    <col min="1048" max="1048" width="15.109375" style="5" customWidth="1"/>
    <col min="1049" max="1049" width="16.44140625" style="5" customWidth="1"/>
    <col min="1050" max="1050" width="16.5546875" style="5" customWidth="1"/>
    <col min="1051" max="1051" width="14.44140625" style="5" customWidth="1"/>
    <col min="1052" max="1052" width="16.5546875" style="5" customWidth="1"/>
    <col min="1053" max="1053" width="15.109375" style="5" customWidth="1"/>
    <col min="1054" max="1065" width="0" style="5" hidden="1" customWidth="1"/>
    <col min="1066" max="1066" width="9.109375" style="5" customWidth="1"/>
    <col min="1067" max="1068" width="0" style="5" hidden="1" customWidth="1"/>
    <col min="1069" max="1069" width="9.109375" style="5" customWidth="1"/>
    <col min="1070" max="1071" width="0" style="5" hidden="1" customWidth="1"/>
    <col min="1072" max="1290" width="9.109375" style="5" customWidth="1"/>
    <col min="1291" max="1291" width="56.109375" style="5" customWidth="1"/>
    <col min="1292" max="1297" width="7.6640625" style="5"/>
    <col min="1298" max="1298" width="20.44140625" style="5" customWidth="1"/>
    <col min="1299" max="1299" width="37.44140625" style="5" customWidth="1"/>
    <col min="1300" max="1300" width="0" style="5" hidden="1" customWidth="1"/>
    <col min="1301" max="1301" width="27" style="5" customWidth="1"/>
    <col min="1302" max="1302" width="16.44140625" style="5" customWidth="1"/>
    <col min="1303" max="1303" width="0" style="5" hidden="1" customWidth="1"/>
    <col min="1304" max="1304" width="15.109375" style="5" customWidth="1"/>
    <col min="1305" max="1305" width="16.44140625" style="5" customWidth="1"/>
    <col min="1306" max="1306" width="16.5546875" style="5" customWidth="1"/>
    <col min="1307" max="1307" width="14.44140625" style="5" customWidth="1"/>
    <col min="1308" max="1308" width="16.5546875" style="5" customWidth="1"/>
    <col min="1309" max="1309" width="15.109375" style="5" customWidth="1"/>
    <col min="1310" max="1321" width="0" style="5" hidden="1" customWidth="1"/>
    <col min="1322" max="1322" width="9.109375" style="5" customWidth="1"/>
    <col min="1323" max="1324" width="0" style="5" hidden="1" customWidth="1"/>
    <col min="1325" max="1325" width="9.109375" style="5" customWidth="1"/>
    <col min="1326" max="1327" width="0" style="5" hidden="1" customWidth="1"/>
    <col min="1328" max="1546" width="9.109375" style="5" customWidth="1"/>
    <col min="1547" max="1547" width="56.109375" style="5" customWidth="1"/>
    <col min="1548" max="1553" width="7.6640625" style="5"/>
    <col min="1554" max="1554" width="20.44140625" style="5" customWidth="1"/>
    <col min="1555" max="1555" width="37.44140625" style="5" customWidth="1"/>
    <col min="1556" max="1556" width="0" style="5" hidden="1" customWidth="1"/>
    <col min="1557" max="1557" width="27" style="5" customWidth="1"/>
    <col min="1558" max="1558" width="16.44140625" style="5" customWidth="1"/>
    <col min="1559" max="1559" width="0" style="5" hidden="1" customWidth="1"/>
    <col min="1560" max="1560" width="15.109375" style="5" customWidth="1"/>
    <col min="1561" max="1561" width="16.44140625" style="5" customWidth="1"/>
    <col min="1562" max="1562" width="16.5546875" style="5" customWidth="1"/>
    <col min="1563" max="1563" width="14.44140625" style="5" customWidth="1"/>
    <col min="1564" max="1564" width="16.5546875" style="5" customWidth="1"/>
    <col min="1565" max="1565" width="15.109375" style="5" customWidth="1"/>
    <col min="1566" max="1577" width="0" style="5" hidden="1" customWidth="1"/>
    <col min="1578" max="1578" width="9.109375" style="5" customWidth="1"/>
    <col min="1579" max="1580" width="0" style="5" hidden="1" customWidth="1"/>
    <col min="1581" max="1581" width="9.109375" style="5" customWidth="1"/>
    <col min="1582" max="1583" width="0" style="5" hidden="1" customWidth="1"/>
    <col min="1584" max="1802" width="9.109375" style="5" customWidth="1"/>
    <col min="1803" max="1803" width="56.109375" style="5" customWidth="1"/>
    <col min="1804" max="1809" width="7.6640625" style="5"/>
    <col min="1810" max="1810" width="20.44140625" style="5" customWidth="1"/>
    <col min="1811" max="1811" width="37.44140625" style="5" customWidth="1"/>
    <col min="1812" max="1812" width="0" style="5" hidden="1" customWidth="1"/>
    <col min="1813" max="1813" width="27" style="5" customWidth="1"/>
    <col min="1814" max="1814" width="16.44140625" style="5" customWidth="1"/>
    <col min="1815" max="1815" width="0" style="5" hidden="1" customWidth="1"/>
    <col min="1816" max="1816" width="15.109375" style="5" customWidth="1"/>
    <col min="1817" max="1817" width="16.44140625" style="5" customWidth="1"/>
    <col min="1818" max="1818" width="16.5546875" style="5" customWidth="1"/>
    <col min="1819" max="1819" width="14.44140625" style="5" customWidth="1"/>
    <col min="1820" max="1820" width="16.5546875" style="5" customWidth="1"/>
    <col min="1821" max="1821" width="15.109375" style="5" customWidth="1"/>
    <col min="1822" max="1833" width="0" style="5" hidden="1" customWidth="1"/>
    <col min="1834" max="1834" width="9.109375" style="5" customWidth="1"/>
    <col min="1835" max="1836" width="0" style="5" hidden="1" customWidth="1"/>
    <col min="1837" max="1837" width="9.109375" style="5" customWidth="1"/>
    <col min="1838" max="1839" width="0" style="5" hidden="1" customWidth="1"/>
    <col min="1840" max="2058" width="9.109375" style="5" customWidth="1"/>
    <col min="2059" max="2059" width="56.109375" style="5" customWidth="1"/>
    <col min="2060" max="2065" width="7.6640625" style="5"/>
    <col min="2066" max="2066" width="20.44140625" style="5" customWidth="1"/>
    <col min="2067" max="2067" width="37.44140625" style="5" customWidth="1"/>
    <col min="2068" max="2068" width="0" style="5" hidden="1" customWidth="1"/>
    <col min="2069" max="2069" width="27" style="5" customWidth="1"/>
    <col min="2070" max="2070" width="16.44140625" style="5" customWidth="1"/>
    <col min="2071" max="2071" width="0" style="5" hidden="1" customWidth="1"/>
    <col min="2072" max="2072" width="15.109375" style="5" customWidth="1"/>
    <col min="2073" max="2073" width="16.44140625" style="5" customWidth="1"/>
    <col min="2074" max="2074" width="16.5546875" style="5" customWidth="1"/>
    <col min="2075" max="2075" width="14.44140625" style="5" customWidth="1"/>
    <col min="2076" max="2076" width="16.5546875" style="5" customWidth="1"/>
    <col min="2077" max="2077" width="15.109375" style="5" customWidth="1"/>
    <col min="2078" max="2089" width="0" style="5" hidden="1" customWidth="1"/>
    <col min="2090" max="2090" width="9.109375" style="5" customWidth="1"/>
    <col min="2091" max="2092" width="0" style="5" hidden="1" customWidth="1"/>
    <col min="2093" max="2093" width="9.109375" style="5" customWidth="1"/>
    <col min="2094" max="2095" width="0" style="5" hidden="1" customWidth="1"/>
    <col min="2096" max="2314" width="9.109375" style="5" customWidth="1"/>
    <col min="2315" max="2315" width="56.109375" style="5" customWidth="1"/>
    <col min="2316" max="2321" width="7.6640625" style="5"/>
    <col min="2322" max="2322" width="20.44140625" style="5" customWidth="1"/>
    <col min="2323" max="2323" width="37.44140625" style="5" customWidth="1"/>
    <col min="2324" max="2324" width="0" style="5" hidden="1" customWidth="1"/>
    <col min="2325" max="2325" width="27" style="5" customWidth="1"/>
    <col min="2326" max="2326" width="16.44140625" style="5" customWidth="1"/>
    <col min="2327" max="2327" width="0" style="5" hidden="1" customWidth="1"/>
    <col min="2328" max="2328" width="15.109375" style="5" customWidth="1"/>
    <col min="2329" max="2329" width="16.44140625" style="5" customWidth="1"/>
    <col min="2330" max="2330" width="16.5546875" style="5" customWidth="1"/>
    <col min="2331" max="2331" width="14.44140625" style="5" customWidth="1"/>
    <col min="2332" max="2332" width="16.5546875" style="5" customWidth="1"/>
    <col min="2333" max="2333" width="15.109375" style="5" customWidth="1"/>
    <col min="2334" max="2345" width="0" style="5" hidden="1" customWidth="1"/>
    <col min="2346" max="2346" width="9.109375" style="5" customWidth="1"/>
    <col min="2347" max="2348" width="0" style="5" hidden="1" customWidth="1"/>
    <col min="2349" max="2349" width="9.109375" style="5" customWidth="1"/>
    <col min="2350" max="2351" width="0" style="5" hidden="1" customWidth="1"/>
    <col min="2352" max="2570" width="9.109375" style="5" customWidth="1"/>
    <col min="2571" max="2571" width="56.109375" style="5" customWidth="1"/>
    <col min="2572" max="2577" width="7.6640625" style="5"/>
    <col min="2578" max="2578" width="20.44140625" style="5" customWidth="1"/>
    <col min="2579" max="2579" width="37.44140625" style="5" customWidth="1"/>
    <col min="2580" max="2580" width="0" style="5" hidden="1" customWidth="1"/>
    <col min="2581" max="2581" width="27" style="5" customWidth="1"/>
    <col min="2582" max="2582" width="16.44140625" style="5" customWidth="1"/>
    <col min="2583" max="2583" width="0" style="5" hidden="1" customWidth="1"/>
    <col min="2584" max="2584" width="15.109375" style="5" customWidth="1"/>
    <col min="2585" max="2585" width="16.44140625" style="5" customWidth="1"/>
    <col min="2586" max="2586" width="16.5546875" style="5" customWidth="1"/>
    <col min="2587" max="2587" width="14.44140625" style="5" customWidth="1"/>
    <col min="2588" max="2588" width="16.5546875" style="5" customWidth="1"/>
    <col min="2589" max="2589" width="15.109375" style="5" customWidth="1"/>
    <col min="2590" max="2601" width="0" style="5" hidden="1" customWidth="1"/>
    <col min="2602" max="2602" width="9.109375" style="5" customWidth="1"/>
    <col min="2603" max="2604" width="0" style="5" hidden="1" customWidth="1"/>
    <col min="2605" max="2605" width="9.109375" style="5" customWidth="1"/>
    <col min="2606" max="2607" width="0" style="5" hidden="1" customWidth="1"/>
    <col min="2608" max="2826" width="9.109375" style="5" customWidth="1"/>
    <col min="2827" max="2827" width="56.109375" style="5" customWidth="1"/>
    <col min="2828" max="2833" width="7.6640625" style="5"/>
    <col min="2834" max="2834" width="20.44140625" style="5" customWidth="1"/>
    <col min="2835" max="2835" width="37.44140625" style="5" customWidth="1"/>
    <col min="2836" max="2836" width="0" style="5" hidden="1" customWidth="1"/>
    <col min="2837" max="2837" width="27" style="5" customWidth="1"/>
    <col min="2838" max="2838" width="16.44140625" style="5" customWidth="1"/>
    <col min="2839" max="2839" width="0" style="5" hidden="1" customWidth="1"/>
    <col min="2840" max="2840" width="15.109375" style="5" customWidth="1"/>
    <col min="2841" max="2841" width="16.44140625" style="5" customWidth="1"/>
    <col min="2842" max="2842" width="16.5546875" style="5" customWidth="1"/>
    <col min="2843" max="2843" width="14.44140625" style="5" customWidth="1"/>
    <col min="2844" max="2844" width="16.5546875" style="5" customWidth="1"/>
    <col min="2845" max="2845" width="15.109375" style="5" customWidth="1"/>
    <col min="2846" max="2857" width="0" style="5" hidden="1" customWidth="1"/>
    <col min="2858" max="2858" width="9.109375" style="5" customWidth="1"/>
    <col min="2859" max="2860" width="0" style="5" hidden="1" customWidth="1"/>
    <col min="2861" max="2861" width="9.109375" style="5" customWidth="1"/>
    <col min="2862" max="2863" width="0" style="5" hidden="1" customWidth="1"/>
    <col min="2864" max="3082" width="9.109375" style="5" customWidth="1"/>
    <col min="3083" max="3083" width="56.109375" style="5" customWidth="1"/>
    <col min="3084" max="3089" width="7.6640625" style="5"/>
    <col min="3090" max="3090" width="20.44140625" style="5" customWidth="1"/>
    <col min="3091" max="3091" width="37.44140625" style="5" customWidth="1"/>
    <col min="3092" max="3092" width="0" style="5" hidden="1" customWidth="1"/>
    <col min="3093" max="3093" width="27" style="5" customWidth="1"/>
    <col min="3094" max="3094" width="16.44140625" style="5" customWidth="1"/>
    <col min="3095" max="3095" width="0" style="5" hidden="1" customWidth="1"/>
    <col min="3096" max="3096" width="15.109375" style="5" customWidth="1"/>
    <col min="3097" max="3097" width="16.44140625" style="5" customWidth="1"/>
    <col min="3098" max="3098" width="16.5546875" style="5" customWidth="1"/>
    <col min="3099" max="3099" width="14.44140625" style="5" customWidth="1"/>
    <col min="3100" max="3100" width="16.5546875" style="5" customWidth="1"/>
    <col min="3101" max="3101" width="15.109375" style="5" customWidth="1"/>
    <col min="3102" max="3113" width="0" style="5" hidden="1" customWidth="1"/>
    <col min="3114" max="3114" width="9.109375" style="5" customWidth="1"/>
    <col min="3115" max="3116" width="0" style="5" hidden="1" customWidth="1"/>
    <col min="3117" max="3117" width="9.109375" style="5" customWidth="1"/>
    <col min="3118" max="3119" width="0" style="5" hidden="1" customWidth="1"/>
    <col min="3120" max="3338" width="9.109375" style="5" customWidth="1"/>
    <col min="3339" max="3339" width="56.109375" style="5" customWidth="1"/>
    <col min="3340" max="3345" width="7.6640625" style="5"/>
    <col min="3346" max="3346" width="20.44140625" style="5" customWidth="1"/>
    <col min="3347" max="3347" width="37.44140625" style="5" customWidth="1"/>
    <col min="3348" max="3348" width="0" style="5" hidden="1" customWidth="1"/>
    <col min="3349" max="3349" width="27" style="5" customWidth="1"/>
    <col min="3350" max="3350" width="16.44140625" style="5" customWidth="1"/>
    <col min="3351" max="3351" width="0" style="5" hidden="1" customWidth="1"/>
    <col min="3352" max="3352" width="15.109375" style="5" customWidth="1"/>
    <col min="3353" max="3353" width="16.44140625" style="5" customWidth="1"/>
    <col min="3354" max="3354" width="16.5546875" style="5" customWidth="1"/>
    <col min="3355" max="3355" width="14.44140625" style="5" customWidth="1"/>
    <col min="3356" max="3356" width="16.5546875" style="5" customWidth="1"/>
    <col min="3357" max="3357" width="15.109375" style="5" customWidth="1"/>
    <col min="3358" max="3369" width="0" style="5" hidden="1" customWidth="1"/>
    <col min="3370" max="3370" width="9.109375" style="5" customWidth="1"/>
    <col min="3371" max="3372" width="0" style="5" hidden="1" customWidth="1"/>
    <col min="3373" max="3373" width="9.109375" style="5" customWidth="1"/>
    <col min="3374" max="3375" width="0" style="5" hidden="1" customWidth="1"/>
    <col min="3376" max="3594" width="9.109375" style="5" customWidth="1"/>
    <col min="3595" max="3595" width="56.109375" style="5" customWidth="1"/>
    <col min="3596" max="3601" width="7.6640625" style="5"/>
    <col min="3602" max="3602" width="20.44140625" style="5" customWidth="1"/>
    <col min="3603" max="3603" width="37.44140625" style="5" customWidth="1"/>
    <col min="3604" max="3604" width="0" style="5" hidden="1" customWidth="1"/>
    <col min="3605" max="3605" width="27" style="5" customWidth="1"/>
    <col min="3606" max="3606" width="16.44140625" style="5" customWidth="1"/>
    <col min="3607" max="3607" width="0" style="5" hidden="1" customWidth="1"/>
    <col min="3608" max="3608" width="15.109375" style="5" customWidth="1"/>
    <col min="3609" max="3609" width="16.44140625" style="5" customWidth="1"/>
    <col min="3610" max="3610" width="16.5546875" style="5" customWidth="1"/>
    <col min="3611" max="3611" width="14.44140625" style="5" customWidth="1"/>
    <col min="3612" max="3612" width="16.5546875" style="5" customWidth="1"/>
    <col min="3613" max="3613" width="15.109375" style="5" customWidth="1"/>
    <col min="3614" max="3625" width="0" style="5" hidden="1" customWidth="1"/>
    <col min="3626" max="3626" width="9.109375" style="5" customWidth="1"/>
    <col min="3627" max="3628" width="0" style="5" hidden="1" customWidth="1"/>
    <col min="3629" max="3629" width="9.109375" style="5" customWidth="1"/>
    <col min="3630" max="3631" width="0" style="5" hidden="1" customWidth="1"/>
    <col min="3632" max="3850" width="9.109375" style="5" customWidth="1"/>
    <col min="3851" max="3851" width="56.109375" style="5" customWidth="1"/>
    <col min="3852" max="3857" width="7.6640625" style="5"/>
    <col min="3858" max="3858" width="20.44140625" style="5" customWidth="1"/>
    <col min="3859" max="3859" width="37.44140625" style="5" customWidth="1"/>
    <col min="3860" max="3860" width="0" style="5" hidden="1" customWidth="1"/>
    <col min="3861" max="3861" width="27" style="5" customWidth="1"/>
    <col min="3862" max="3862" width="16.44140625" style="5" customWidth="1"/>
    <col min="3863" max="3863" width="0" style="5" hidden="1" customWidth="1"/>
    <col min="3864" max="3864" width="15.109375" style="5" customWidth="1"/>
    <col min="3865" max="3865" width="16.44140625" style="5" customWidth="1"/>
    <col min="3866" max="3866" width="16.5546875" style="5" customWidth="1"/>
    <col min="3867" max="3867" width="14.44140625" style="5" customWidth="1"/>
    <col min="3868" max="3868" width="16.5546875" style="5" customWidth="1"/>
    <col min="3869" max="3869" width="15.109375" style="5" customWidth="1"/>
    <col min="3870" max="3881" width="0" style="5" hidden="1" customWidth="1"/>
    <col min="3882" max="3882" width="9.109375" style="5" customWidth="1"/>
    <col min="3883" max="3884" width="0" style="5" hidden="1" customWidth="1"/>
    <col min="3885" max="3885" width="9.109375" style="5" customWidth="1"/>
    <col min="3886" max="3887" width="0" style="5" hidden="1" customWidth="1"/>
    <col min="3888" max="4106" width="9.109375" style="5" customWidth="1"/>
    <col min="4107" max="4107" width="56.109375" style="5" customWidth="1"/>
    <col min="4108" max="4113" width="7.6640625" style="5"/>
    <col min="4114" max="4114" width="20.44140625" style="5" customWidth="1"/>
    <col min="4115" max="4115" width="37.44140625" style="5" customWidth="1"/>
    <col min="4116" max="4116" width="0" style="5" hidden="1" customWidth="1"/>
    <col min="4117" max="4117" width="27" style="5" customWidth="1"/>
    <col min="4118" max="4118" width="16.44140625" style="5" customWidth="1"/>
    <col min="4119" max="4119" width="0" style="5" hidden="1" customWidth="1"/>
    <col min="4120" max="4120" width="15.109375" style="5" customWidth="1"/>
    <col min="4121" max="4121" width="16.44140625" style="5" customWidth="1"/>
    <col min="4122" max="4122" width="16.5546875" style="5" customWidth="1"/>
    <col min="4123" max="4123" width="14.44140625" style="5" customWidth="1"/>
    <col min="4124" max="4124" width="16.5546875" style="5" customWidth="1"/>
    <col min="4125" max="4125" width="15.109375" style="5" customWidth="1"/>
    <col min="4126" max="4137" width="0" style="5" hidden="1" customWidth="1"/>
    <col min="4138" max="4138" width="9.109375" style="5" customWidth="1"/>
    <col min="4139" max="4140" width="0" style="5" hidden="1" customWidth="1"/>
    <col min="4141" max="4141" width="9.109375" style="5" customWidth="1"/>
    <col min="4142" max="4143" width="0" style="5" hidden="1" customWidth="1"/>
    <col min="4144" max="4362" width="9.109375" style="5" customWidth="1"/>
    <col min="4363" max="4363" width="56.109375" style="5" customWidth="1"/>
    <col min="4364" max="4369" width="7.6640625" style="5"/>
    <col min="4370" max="4370" width="20.44140625" style="5" customWidth="1"/>
    <col min="4371" max="4371" width="37.44140625" style="5" customWidth="1"/>
    <col min="4372" max="4372" width="0" style="5" hidden="1" customWidth="1"/>
    <col min="4373" max="4373" width="27" style="5" customWidth="1"/>
    <col min="4374" max="4374" width="16.44140625" style="5" customWidth="1"/>
    <col min="4375" max="4375" width="0" style="5" hidden="1" customWidth="1"/>
    <col min="4376" max="4376" width="15.109375" style="5" customWidth="1"/>
    <col min="4377" max="4377" width="16.44140625" style="5" customWidth="1"/>
    <col min="4378" max="4378" width="16.5546875" style="5" customWidth="1"/>
    <col min="4379" max="4379" width="14.44140625" style="5" customWidth="1"/>
    <col min="4380" max="4380" width="16.5546875" style="5" customWidth="1"/>
    <col min="4381" max="4381" width="15.109375" style="5" customWidth="1"/>
    <col min="4382" max="4393" width="0" style="5" hidden="1" customWidth="1"/>
    <col min="4394" max="4394" width="9.109375" style="5" customWidth="1"/>
    <col min="4395" max="4396" width="0" style="5" hidden="1" customWidth="1"/>
    <col min="4397" max="4397" width="9.109375" style="5" customWidth="1"/>
    <col min="4398" max="4399" width="0" style="5" hidden="1" customWidth="1"/>
    <col min="4400" max="4618" width="9.109375" style="5" customWidth="1"/>
    <col min="4619" max="4619" width="56.109375" style="5" customWidth="1"/>
    <col min="4620" max="4625" width="7.6640625" style="5"/>
    <col min="4626" max="4626" width="20.44140625" style="5" customWidth="1"/>
    <col min="4627" max="4627" width="37.44140625" style="5" customWidth="1"/>
    <col min="4628" max="4628" width="0" style="5" hidden="1" customWidth="1"/>
    <col min="4629" max="4629" width="27" style="5" customWidth="1"/>
    <col min="4630" max="4630" width="16.44140625" style="5" customWidth="1"/>
    <col min="4631" max="4631" width="0" style="5" hidden="1" customWidth="1"/>
    <col min="4632" max="4632" width="15.109375" style="5" customWidth="1"/>
    <col min="4633" max="4633" width="16.44140625" style="5" customWidth="1"/>
    <col min="4634" max="4634" width="16.5546875" style="5" customWidth="1"/>
    <col min="4635" max="4635" width="14.44140625" style="5" customWidth="1"/>
    <col min="4636" max="4636" width="16.5546875" style="5" customWidth="1"/>
    <col min="4637" max="4637" width="15.109375" style="5" customWidth="1"/>
    <col min="4638" max="4649" width="0" style="5" hidden="1" customWidth="1"/>
    <col min="4650" max="4650" width="9.109375" style="5" customWidth="1"/>
    <col min="4651" max="4652" width="0" style="5" hidden="1" customWidth="1"/>
    <col min="4653" max="4653" width="9.109375" style="5" customWidth="1"/>
    <col min="4654" max="4655" width="0" style="5" hidden="1" customWidth="1"/>
    <col min="4656" max="4874" width="9.109375" style="5" customWidth="1"/>
    <col min="4875" max="4875" width="56.109375" style="5" customWidth="1"/>
    <col min="4876" max="4881" width="7.6640625" style="5"/>
    <col min="4882" max="4882" width="20.44140625" style="5" customWidth="1"/>
    <col min="4883" max="4883" width="37.44140625" style="5" customWidth="1"/>
    <col min="4884" max="4884" width="0" style="5" hidden="1" customWidth="1"/>
    <col min="4885" max="4885" width="27" style="5" customWidth="1"/>
    <col min="4886" max="4886" width="16.44140625" style="5" customWidth="1"/>
    <col min="4887" max="4887" width="0" style="5" hidden="1" customWidth="1"/>
    <col min="4888" max="4888" width="15.109375" style="5" customWidth="1"/>
    <col min="4889" max="4889" width="16.44140625" style="5" customWidth="1"/>
    <col min="4890" max="4890" width="16.5546875" style="5" customWidth="1"/>
    <col min="4891" max="4891" width="14.44140625" style="5" customWidth="1"/>
    <col min="4892" max="4892" width="16.5546875" style="5" customWidth="1"/>
    <col min="4893" max="4893" width="15.109375" style="5" customWidth="1"/>
    <col min="4894" max="4905" width="0" style="5" hidden="1" customWidth="1"/>
    <col min="4906" max="4906" width="9.109375" style="5" customWidth="1"/>
    <col min="4907" max="4908" width="0" style="5" hidden="1" customWidth="1"/>
    <col min="4909" max="4909" width="9.109375" style="5" customWidth="1"/>
    <col min="4910" max="4911" width="0" style="5" hidden="1" customWidth="1"/>
    <col min="4912" max="5130" width="9.109375" style="5" customWidth="1"/>
    <col min="5131" max="5131" width="56.109375" style="5" customWidth="1"/>
    <col min="5132" max="5137" width="7.6640625" style="5"/>
    <col min="5138" max="5138" width="20.44140625" style="5" customWidth="1"/>
    <col min="5139" max="5139" width="37.44140625" style="5" customWidth="1"/>
    <col min="5140" max="5140" width="0" style="5" hidden="1" customWidth="1"/>
    <col min="5141" max="5141" width="27" style="5" customWidth="1"/>
    <col min="5142" max="5142" width="16.44140625" style="5" customWidth="1"/>
    <col min="5143" max="5143" width="0" style="5" hidden="1" customWidth="1"/>
    <col min="5144" max="5144" width="15.109375" style="5" customWidth="1"/>
    <col min="5145" max="5145" width="16.44140625" style="5" customWidth="1"/>
    <col min="5146" max="5146" width="16.5546875" style="5" customWidth="1"/>
    <col min="5147" max="5147" width="14.44140625" style="5" customWidth="1"/>
    <col min="5148" max="5148" width="16.5546875" style="5" customWidth="1"/>
    <col min="5149" max="5149" width="15.109375" style="5" customWidth="1"/>
    <col min="5150" max="5161" width="0" style="5" hidden="1" customWidth="1"/>
    <col min="5162" max="5162" width="9.109375" style="5" customWidth="1"/>
    <col min="5163" max="5164" width="0" style="5" hidden="1" customWidth="1"/>
    <col min="5165" max="5165" width="9.109375" style="5" customWidth="1"/>
    <col min="5166" max="5167" width="0" style="5" hidden="1" customWidth="1"/>
    <col min="5168" max="5386" width="9.109375" style="5" customWidth="1"/>
    <col min="5387" max="5387" width="56.109375" style="5" customWidth="1"/>
    <col min="5388" max="5393" width="7.6640625" style="5"/>
    <col min="5394" max="5394" width="20.44140625" style="5" customWidth="1"/>
    <col min="5395" max="5395" width="37.44140625" style="5" customWidth="1"/>
    <col min="5396" max="5396" width="0" style="5" hidden="1" customWidth="1"/>
    <col min="5397" max="5397" width="27" style="5" customWidth="1"/>
    <col min="5398" max="5398" width="16.44140625" style="5" customWidth="1"/>
    <col min="5399" max="5399" width="0" style="5" hidden="1" customWidth="1"/>
    <col min="5400" max="5400" width="15.109375" style="5" customWidth="1"/>
    <col min="5401" max="5401" width="16.44140625" style="5" customWidth="1"/>
    <col min="5402" max="5402" width="16.5546875" style="5" customWidth="1"/>
    <col min="5403" max="5403" width="14.44140625" style="5" customWidth="1"/>
    <col min="5404" max="5404" width="16.5546875" style="5" customWidth="1"/>
    <col min="5405" max="5405" width="15.109375" style="5" customWidth="1"/>
    <col min="5406" max="5417" width="0" style="5" hidden="1" customWidth="1"/>
    <col min="5418" max="5418" width="9.109375" style="5" customWidth="1"/>
    <col min="5419" max="5420" width="0" style="5" hidden="1" customWidth="1"/>
    <col min="5421" max="5421" width="9.109375" style="5" customWidth="1"/>
    <col min="5422" max="5423" width="0" style="5" hidden="1" customWidth="1"/>
    <col min="5424" max="5642" width="9.109375" style="5" customWidth="1"/>
    <col min="5643" max="5643" width="56.109375" style="5" customWidth="1"/>
    <col min="5644" max="5649" width="7.6640625" style="5"/>
    <col min="5650" max="5650" width="20.44140625" style="5" customWidth="1"/>
    <col min="5651" max="5651" width="37.44140625" style="5" customWidth="1"/>
    <col min="5652" max="5652" width="0" style="5" hidden="1" customWidth="1"/>
    <col min="5653" max="5653" width="27" style="5" customWidth="1"/>
    <col min="5654" max="5654" width="16.44140625" style="5" customWidth="1"/>
    <col min="5655" max="5655" width="0" style="5" hidden="1" customWidth="1"/>
    <col min="5656" max="5656" width="15.109375" style="5" customWidth="1"/>
    <col min="5657" max="5657" width="16.44140625" style="5" customWidth="1"/>
    <col min="5658" max="5658" width="16.5546875" style="5" customWidth="1"/>
    <col min="5659" max="5659" width="14.44140625" style="5" customWidth="1"/>
    <col min="5660" max="5660" width="16.5546875" style="5" customWidth="1"/>
    <col min="5661" max="5661" width="15.109375" style="5" customWidth="1"/>
    <col min="5662" max="5673" width="0" style="5" hidden="1" customWidth="1"/>
    <col min="5674" max="5674" width="9.109375" style="5" customWidth="1"/>
    <col min="5675" max="5676" width="0" style="5" hidden="1" customWidth="1"/>
    <col min="5677" max="5677" width="9.109375" style="5" customWidth="1"/>
    <col min="5678" max="5679" width="0" style="5" hidden="1" customWidth="1"/>
    <col min="5680" max="5898" width="9.109375" style="5" customWidth="1"/>
    <col min="5899" max="5899" width="56.109375" style="5" customWidth="1"/>
    <col min="5900" max="5905" width="7.6640625" style="5"/>
    <col min="5906" max="5906" width="20.44140625" style="5" customWidth="1"/>
    <col min="5907" max="5907" width="37.44140625" style="5" customWidth="1"/>
    <col min="5908" max="5908" width="0" style="5" hidden="1" customWidth="1"/>
    <col min="5909" max="5909" width="27" style="5" customWidth="1"/>
    <col min="5910" max="5910" width="16.44140625" style="5" customWidth="1"/>
    <col min="5911" max="5911" width="0" style="5" hidden="1" customWidth="1"/>
    <col min="5912" max="5912" width="15.109375" style="5" customWidth="1"/>
    <col min="5913" max="5913" width="16.44140625" style="5" customWidth="1"/>
    <col min="5914" max="5914" width="16.5546875" style="5" customWidth="1"/>
    <col min="5915" max="5915" width="14.44140625" style="5" customWidth="1"/>
    <col min="5916" max="5916" width="16.5546875" style="5" customWidth="1"/>
    <col min="5917" max="5917" width="15.109375" style="5" customWidth="1"/>
    <col min="5918" max="5929" width="0" style="5" hidden="1" customWidth="1"/>
    <col min="5930" max="5930" width="9.109375" style="5" customWidth="1"/>
    <col min="5931" max="5932" width="0" style="5" hidden="1" customWidth="1"/>
    <col min="5933" max="5933" width="9.109375" style="5" customWidth="1"/>
    <col min="5934" max="5935" width="0" style="5" hidden="1" customWidth="1"/>
    <col min="5936" max="6154" width="9.109375" style="5" customWidth="1"/>
    <col min="6155" max="6155" width="56.109375" style="5" customWidth="1"/>
    <col min="6156" max="6161" width="7.6640625" style="5"/>
    <col min="6162" max="6162" width="20.44140625" style="5" customWidth="1"/>
    <col min="6163" max="6163" width="37.44140625" style="5" customWidth="1"/>
    <col min="6164" max="6164" width="0" style="5" hidden="1" customWidth="1"/>
    <col min="6165" max="6165" width="27" style="5" customWidth="1"/>
    <col min="6166" max="6166" width="16.44140625" style="5" customWidth="1"/>
    <col min="6167" max="6167" width="0" style="5" hidden="1" customWidth="1"/>
    <col min="6168" max="6168" width="15.109375" style="5" customWidth="1"/>
    <col min="6169" max="6169" width="16.44140625" style="5" customWidth="1"/>
    <col min="6170" max="6170" width="16.5546875" style="5" customWidth="1"/>
    <col min="6171" max="6171" width="14.44140625" style="5" customWidth="1"/>
    <col min="6172" max="6172" width="16.5546875" style="5" customWidth="1"/>
    <col min="6173" max="6173" width="15.109375" style="5" customWidth="1"/>
    <col min="6174" max="6185" width="0" style="5" hidden="1" customWidth="1"/>
    <col min="6186" max="6186" width="9.109375" style="5" customWidth="1"/>
    <col min="6187" max="6188" width="0" style="5" hidden="1" customWidth="1"/>
    <col min="6189" max="6189" width="9.109375" style="5" customWidth="1"/>
    <col min="6190" max="6191" width="0" style="5" hidden="1" customWidth="1"/>
    <col min="6192" max="6410" width="9.109375" style="5" customWidth="1"/>
    <col min="6411" max="6411" width="56.109375" style="5" customWidth="1"/>
    <col min="6412" max="6417" width="7.6640625" style="5"/>
    <col min="6418" max="6418" width="20.44140625" style="5" customWidth="1"/>
    <col min="6419" max="6419" width="37.44140625" style="5" customWidth="1"/>
    <col min="6420" max="6420" width="0" style="5" hidden="1" customWidth="1"/>
    <col min="6421" max="6421" width="27" style="5" customWidth="1"/>
    <col min="6422" max="6422" width="16.44140625" style="5" customWidth="1"/>
    <col min="6423" max="6423" width="0" style="5" hidden="1" customWidth="1"/>
    <col min="6424" max="6424" width="15.109375" style="5" customWidth="1"/>
    <col min="6425" max="6425" width="16.44140625" style="5" customWidth="1"/>
    <col min="6426" max="6426" width="16.5546875" style="5" customWidth="1"/>
    <col min="6427" max="6427" width="14.44140625" style="5" customWidth="1"/>
    <col min="6428" max="6428" width="16.5546875" style="5" customWidth="1"/>
    <col min="6429" max="6429" width="15.109375" style="5" customWidth="1"/>
    <col min="6430" max="6441" width="0" style="5" hidden="1" customWidth="1"/>
    <col min="6442" max="6442" width="9.109375" style="5" customWidth="1"/>
    <col min="6443" max="6444" width="0" style="5" hidden="1" customWidth="1"/>
    <col min="6445" max="6445" width="9.109375" style="5" customWidth="1"/>
    <col min="6446" max="6447" width="0" style="5" hidden="1" customWidth="1"/>
    <col min="6448" max="6666" width="9.109375" style="5" customWidth="1"/>
    <col min="6667" max="6667" width="56.109375" style="5" customWidth="1"/>
    <col min="6668" max="6673" width="7.6640625" style="5"/>
    <col min="6674" max="6674" width="20.44140625" style="5" customWidth="1"/>
    <col min="6675" max="6675" width="37.44140625" style="5" customWidth="1"/>
    <col min="6676" max="6676" width="0" style="5" hidden="1" customWidth="1"/>
    <col min="6677" max="6677" width="27" style="5" customWidth="1"/>
    <col min="6678" max="6678" width="16.44140625" style="5" customWidth="1"/>
    <col min="6679" max="6679" width="0" style="5" hidden="1" customWidth="1"/>
    <col min="6680" max="6680" width="15.109375" style="5" customWidth="1"/>
    <col min="6681" max="6681" width="16.44140625" style="5" customWidth="1"/>
    <col min="6682" max="6682" width="16.5546875" style="5" customWidth="1"/>
    <col min="6683" max="6683" width="14.44140625" style="5" customWidth="1"/>
    <col min="6684" max="6684" width="16.5546875" style="5" customWidth="1"/>
    <col min="6685" max="6685" width="15.109375" style="5" customWidth="1"/>
    <col min="6686" max="6697" width="0" style="5" hidden="1" customWidth="1"/>
    <col min="6698" max="6698" width="9.109375" style="5" customWidth="1"/>
    <col min="6699" max="6700" width="0" style="5" hidden="1" customWidth="1"/>
    <col min="6701" max="6701" width="9.109375" style="5" customWidth="1"/>
    <col min="6702" max="6703" width="0" style="5" hidden="1" customWidth="1"/>
    <col min="6704" max="6922" width="9.109375" style="5" customWidth="1"/>
    <col min="6923" max="6923" width="56.109375" style="5" customWidth="1"/>
    <col min="6924" max="6929" width="7.6640625" style="5"/>
    <col min="6930" max="6930" width="20.44140625" style="5" customWidth="1"/>
    <col min="6931" max="6931" width="37.44140625" style="5" customWidth="1"/>
    <col min="6932" max="6932" width="0" style="5" hidden="1" customWidth="1"/>
    <col min="6933" max="6933" width="27" style="5" customWidth="1"/>
    <col min="6934" max="6934" width="16.44140625" style="5" customWidth="1"/>
    <col min="6935" max="6935" width="0" style="5" hidden="1" customWidth="1"/>
    <col min="6936" max="6936" width="15.109375" style="5" customWidth="1"/>
    <col min="6937" max="6937" width="16.44140625" style="5" customWidth="1"/>
    <col min="6938" max="6938" width="16.5546875" style="5" customWidth="1"/>
    <col min="6939" max="6939" width="14.44140625" style="5" customWidth="1"/>
    <col min="6940" max="6940" width="16.5546875" style="5" customWidth="1"/>
    <col min="6941" max="6941" width="15.109375" style="5" customWidth="1"/>
    <col min="6942" max="6953" width="0" style="5" hidden="1" customWidth="1"/>
    <col min="6954" max="6954" width="9.109375" style="5" customWidth="1"/>
    <col min="6955" max="6956" width="0" style="5" hidden="1" customWidth="1"/>
    <col min="6957" max="6957" width="9.109375" style="5" customWidth="1"/>
    <col min="6958" max="6959" width="0" style="5" hidden="1" customWidth="1"/>
    <col min="6960" max="7178" width="9.109375" style="5" customWidth="1"/>
    <col min="7179" max="7179" width="56.109375" style="5" customWidth="1"/>
    <col min="7180" max="7185" width="7.6640625" style="5"/>
    <col min="7186" max="7186" width="20.44140625" style="5" customWidth="1"/>
    <col min="7187" max="7187" width="37.44140625" style="5" customWidth="1"/>
    <col min="7188" max="7188" width="0" style="5" hidden="1" customWidth="1"/>
    <col min="7189" max="7189" width="27" style="5" customWidth="1"/>
    <col min="7190" max="7190" width="16.44140625" style="5" customWidth="1"/>
    <col min="7191" max="7191" width="0" style="5" hidden="1" customWidth="1"/>
    <col min="7192" max="7192" width="15.109375" style="5" customWidth="1"/>
    <col min="7193" max="7193" width="16.44140625" style="5" customWidth="1"/>
    <col min="7194" max="7194" width="16.5546875" style="5" customWidth="1"/>
    <col min="7195" max="7195" width="14.44140625" style="5" customWidth="1"/>
    <col min="7196" max="7196" width="16.5546875" style="5" customWidth="1"/>
    <col min="7197" max="7197" width="15.109375" style="5" customWidth="1"/>
    <col min="7198" max="7209" width="0" style="5" hidden="1" customWidth="1"/>
    <col min="7210" max="7210" width="9.109375" style="5" customWidth="1"/>
    <col min="7211" max="7212" width="0" style="5" hidden="1" customWidth="1"/>
    <col min="7213" max="7213" width="9.109375" style="5" customWidth="1"/>
    <col min="7214" max="7215" width="0" style="5" hidden="1" customWidth="1"/>
    <col min="7216" max="7434" width="9.109375" style="5" customWidth="1"/>
    <col min="7435" max="7435" width="56.109375" style="5" customWidth="1"/>
    <col min="7436" max="7441" width="7.6640625" style="5"/>
    <col min="7442" max="7442" width="20.44140625" style="5" customWidth="1"/>
    <col min="7443" max="7443" width="37.44140625" style="5" customWidth="1"/>
    <col min="7444" max="7444" width="0" style="5" hidden="1" customWidth="1"/>
    <col min="7445" max="7445" width="27" style="5" customWidth="1"/>
    <col min="7446" max="7446" width="16.44140625" style="5" customWidth="1"/>
    <col min="7447" max="7447" width="0" style="5" hidden="1" customWidth="1"/>
    <col min="7448" max="7448" width="15.109375" style="5" customWidth="1"/>
    <col min="7449" max="7449" width="16.44140625" style="5" customWidth="1"/>
    <col min="7450" max="7450" width="16.5546875" style="5" customWidth="1"/>
    <col min="7451" max="7451" width="14.44140625" style="5" customWidth="1"/>
    <col min="7452" max="7452" width="16.5546875" style="5" customWidth="1"/>
    <col min="7453" max="7453" width="15.109375" style="5" customWidth="1"/>
    <col min="7454" max="7465" width="0" style="5" hidden="1" customWidth="1"/>
    <col min="7466" max="7466" width="9.109375" style="5" customWidth="1"/>
    <col min="7467" max="7468" width="0" style="5" hidden="1" customWidth="1"/>
    <col min="7469" max="7469" width="9.109375" style="5" customWidth="1"/>
    <col min="7470" max="7471" width="0" style="5" hidden="1" customWidth="1"/>
    <col min="7472" max="7690" width="9.109375" style="5" customWidth="1"/>
    <col min="7691" max="7691" width="56.109375" style="5" customWidth="1"/>
    <col min="7692" max="7697" width="7.6640625" style="5"/>
    <col min="7698" max="7698" width="20.44140625" style="5" customWidth="1"/>
    <col min="7699" max="7699" width="37.44140625" style="5" customWidth="1"/>
    <col min="7700" max="7700" width="0" style="5" hidden="1" customWidth="1"/>
    <col min="7701" max="7701" width="27" style="5" customWidth="1"/>
    <col min="7702" max="7702" width="16.44140625" style="5" customWidth="1"/>
    <col min="7703" max="7703" width="0" style="5" hidden="1" customWidth="1"/>
    <col min="7704" max="7704" width="15.109375" style="5" customWidth="1"/>
    <col min="7705" max="7705" width="16.44140625" style="5" customWidth="1"/>
    <col min="7706" max="7706" width="16.5546875" style="5" customWidth="1"/>
    <col min="7707" max="7707" width="14.44140625" style="5" customWidth="1"/>
    <col min="7708" max="7708" width="16.5546875" style="5" customWidth="1"/>
    <col min="7709" max="7709" width="15.109375" style="5" customWidth="1"/>
    <col min="7710" max="7721" width="0" style="5" hidden="1" customWidth="1"/>
    <col min="7722" max="7722" width="9.109375" style="5" customWidth="1"/>
    <col min="7723" max="7724" width="0" style="5" hidden="1" customWidth="1"/>
    <col min="7725" max="7725" width="9.109375" style="5" customWidth="1"/>
    <col min="7726" max="7727" width="0" style="5" hidden="1" customWidth="1"/>
    <col min="7728" max="7946" width="9.109375" style="5" customWidth="1"/>
    <col min="7947" max="7947" width="56.109375" style="5" customWidth="1"/>
    <col min="7948" max="7953" width="7.6640625" style="5"/>
    <col min="7954" max="7954" width="20.44140625" style="5" customWidth="1"/>
    <col min="7955" max="7955" width="37.44140625" style="5" customWidth="1"/>
    <col min="7956" max="7956" width="0" style="5" hidden="1" customWidth="1"/>
    <col min="7957" max="7957" width="27" style="5" customWidth="1"/>
    <col min="7958" max="7958" width="16.44140625" style="5" customWidth="1"/>
    <col min="7959" max="7959" width="0" style="5" hidden="1" customWidth="1"/>
    <col min="7960" max="7960" width="15.109375" style="5" customWidth="1"/>
    <col min="7961" max="7961" width="16.44140625" style="5" customWidth="1"/>
    <col min="7962" max="7962" width="16.5546875" style="5" customWidth="1"/>
    <col min="7963" max="7963" width="14.44140625" style="5" customWidth="1"/>
    <col min="7964" max="7964" width="16.5546875" style="5" customWidth="1"/>
    <col min="7965" max="7965" width="15.109375" style="5" customWidth="1"/>
    <col min="7966" max="7977" width="0" style="5" hidden="1" customWidth="1"/>
    <col min="7978" max="7978" width="9.109375" style="5" customWidth="1"/>
    <col min="7979" max="7980" width="0" style="5" hidden="1" customWidth="1"/>
    <col min="7981" max="7981" width="9.109375" style="5" customWidth="1"/>
    <col min="7982" max="7983" width="0" style="5" hidden="1" customWidth="1"/>
    <col min="7984" max="8202" width="9.109375" style="5" customWidth="1"/>
    <col min="8203" max="8203" width="56.109375" style="5" customWidth="1"/>
    <col min="8204" max="8209" width="7.6640625" style="5"/>
    <col min="8210" max="8210" width="20.44140625" style="5" customWidth="1"/>
    <col min="8211" max="8211" width="37.44140625" style="5" customWidth="1"/>
    <col min="8212" max="8212" width="0" style="5" hidden="1" customWidth="1"/>
    <col min="8213" max="8213" width="27" style="5" customWidth="1"/>
    <col min="8214" max="8214" width="16.44140625" style="5" customWidth="1"/>
    <col min="8215" max="8215" width="0" style="5" hidden="1" customWidth="1"/>
    <col min="8216" max="8216" width="15.109375" style="5" customWidth="1"/>
    <col min="8217" max="8217" width="16.44140625" style="5" customWidth="1"/>
    <col min="8218" max="8218" width="16.5546875" style="5" customWidth="1"/>
    <col min="8219" max="8219" width="14.44140625" style="5" customWidth="1"/>
    <col min="8220" max="8220" width="16.5546875" style="5" customWidth="1"/>
    <col min="8221" max="8221" width="15.109375" style="5" customWidth="1"/>
    <col min="8222" max="8233" width="0" style="5" hidden="1" customWidth="1"/>
    <col min="8234" max="8234" width="9.109375" style="5" customWidth="1"/>
    <col min="8235" max="8236" width="0" style="5" hidden="1" customWidth="1"/>
    <col min="8237" max="8237" width="9.109375" style="5" customWidth="1"/>
    <col min="8238" max="8239" width="0" style="5" hidden="1" customWidth="1"/>
    <col min="8240" max="8458" width="9.109375" style="5" customWidth="1"/>
    <col min="8459" max="8459" width="56.109375" style="5" customWidth="1"/>
    <col min="8460" max="8465" width="7.6640625" style="5"/>
    <col min="8466" max="8466" width="20.44140625" style="5" customWidth="1"/>
    <col min="8467" max="8467" width="37.44140625" style="5" customWidth="1"/>
    <col min="8468" max="8468" width="0" style="5" hidden="1" customWidth="1"/>
    <col min="8469" max="8469" width="27" style="5" customWidth="1"/>
    <col min="8470" max="8470" width="16.44140625" style="5" customWidth="1"/>
    <col min="8471" max="8471" width="0" style="5" hidden="1" customWidth="1"/>
    <col min="8472" max="8472" width="15.109375" style="5" customWidth="1"/>
    <col min="8473" max="8473" width="16.44140625" style="5" customWidth="1"/>
    <col min="8474" max="8474" width="16.5546875" style="5" customWidth="1"/>
    <col min="8475" max="8475" width="14.44140625" style="5" customWidth="1"/>
    <col min="8476" max="8476" width="16.5546875" style="5" customWidth="1"/>
    <col min="8477" max="8477" width="15.109375" style="5" customWidth="1"/>
    <col min="8478" max="8489" width="0" style="5" hidden="1" customWidth="1"/>
    <col min="8490" max="8490" width="9.109375" style="5" customWidth="1"/>
    <col min="8491" max="8492" width="0" style="5" hidden="1" customWidth="1"/>
    <col min="8493" max="8493" width="9.109375" style="5" customWidth="1"/>
    <col min="8494" max="8495" width="0" style="5" hidden="1" customWidth="1"/>
    <col min="8496" max="8714" width="9.109375" style="5" customWidth="1"/>
    <col min="8715" max="8715" width="56.109375" style="5" customWidth="1"/>
    <col min="8716" max="8721" width="7.6640625" style="5"/>
    <col min="8722" max="8722" width="20.44140625" style="5" customWidth="1"/>
    <col min="8723" max="8723" width="37.44140625" style="5" customWidth="1"/>
    <col min="8724" max="8724" width="0" style="5" hidden="1" customWidth="1"/>
    <col min="8725" max="8725" width="27" style="5" customWidth="1"/>
    <col min="8726" max="8726" width="16.44140625" style="5" customWidth="1"/>
    <col min="8727" max="8727" width="0" style="5" hidden="1" customWidth="1"/>
    <col min="8728" max="8728" width="15.109375" style="5" customWidth="1"/>
    <col min="8729" max="8729" width="16.44140625" style="5" customWidth="1"/>
    <col min="8730" max="8730" width="16.5546875" style="5" customWidth="1"/>
    <col min="8731" max="8731" width="14.44140625" style="5" customWidth="1"/>
    <col min="8732" max="8732" width="16.5546875" style="5" customWidth="1"/>
    <col min="8733" max="8733" width="15.109375" style="5" customWidth="1"/>
    <col min="8734" max="8745" width="0" style="5" hidden="1" customWidth="1"/>
    <col min="8746" max="8746" width="9.109375" style="5" customWidth="1"/>
    <col min="8747" max="8748" width="0" style="5" hidden="1" customWidth="1"/>
    <col min="8749" max="8749" width="9.109375" style="5" customWidth="1"/>
    <col min="8750" max="8751" width="0" style="5" hidden="1" customWidth="1"/>
    <col min="8752" max="8970" width="9.109375" style="5" customWidth="1"/>
    <col min="8971" max="8971" width="56.109375" style="5" customWidth="1"/>
    <col min="8972" max="8977" width="7.6640625" style="5"/>
    <col min="8978" max="8978" width="20.44140625" style="5" customWidth="1"/>
    <col min="8979" max="8979" width="37.44140625" style="5" customWidth="1"/>
    <col min="8980" max="8980" width="0" style="5" hidden="1" customWidth="1"/>
    <col min="8981" max="8981" width="27" style="5" customWidth="1"/>
    <col min="8982" max="8982" width="16.44140625" style="5" customWidth="1"/>
    <col min="8983" max="8983" width="0" style="5" hidden="1" customWidth="1"/>
    <col min="8984" max="8984" width="15.109375" style="5" customWidth="1"/>
    <col min="8985" max="8985" width="16.44140625" style="5" customWidth="1"/>
    <col min="8986" max="8986" width="16.5546875" style="5" customWidth="1"/>
    <col min="8987" max="8987" width="14.44140625" style="5" customWidth="1"/>
    <col min="8988" max="8988" width="16.5546875" style="5" customWidth="1"/>
    <col min="8989" max="8989" width="15.109375" style="5" customWidth="1"/>
    <col min="8990" max="9001" width="0" style="5" hidden="1" customWidth="1"/>
    <col min="9002" max="9002" width="9.109375" style="5" customWidth="1"/>
    <col min="9003" max="9004" width="0" style="5" hidden="1" customWidth="1"/>
    <col min="9005" max="9005" width="9.109375" style="5" customWidth="1"/>
    <col min="9006" max="9007" width="0" style="5" hidden="1" customWidth="1"/>
    <col min="9008" max="9226" width="9.109375" style="5" customWidth="1"/>
    <col min="9227" max="9227" width="56.109375" style="5" customWidth="1"/>
    <col min="9228" max="9233" width="7.6640625" style="5"/>
    <col min="9234" max="9234" width="20.44140625" style="5" customWidth="1"/>
    <col min="9235" max="9235" width="37.44140625" style="5" customWidth="1"/>
    <col min="9236" max="9236" width="0" style="5" hidden="1" customWidth="1"/>
    <col min="9237" max="9237" width="27" style="5" customWidth="1"/>
    <col min="9238" max="9238" width="16.44140625" style="5" customWidth="1"/>
    <col min="9239" max="9239" width="0" style="5" hidden="1" customWidth="1"/>
    <col min="9240" max="9240" width="15.109375" style="5" customWidth="1"/>
    <col min="9241" max="9241" width="16.44140625" style="5" customWidth="1"/>
    <col min="9242" max="9242" width="16.5546875" style="5" customWidth="1"/>
    <col min="9243" max="9243" width="14.44140625" style="5" customWidth="1"/>
    <col min="9244" max="9244" width="16.5546875" style="5" customWidth="1"/>
    <col min="9245" max="9245" width="15.109375" style="5" customWidth="1"/>
    <col min="9246" max="9257" width="0" style="5" hidden="1" customWidth="1"/>
    <col min="9258" max="9258" width="9.109375" style="5" customWidth="1"/>
    <col min="9259" max="9260" width="0" style="5" hidden="1" customWidth="1"/>
    <col min="9261" max="9261" width="9.109375" style="5" customWidth="1"/>
    <col min="9262" max="9263" width="0" style="5" hidden="1" customWidth="1"/>
    <col min="9264" max="9482" width="9.109375" style="5" customWidth="1"/>
    <col min="9483" max="9483" width="56.109375" style="5" customWidth="1"/>
    <col min="9484" max="9489" width="7.6640625" style="5"/>
    <col min="9490" max="9490" width="20.44140625" style="5" customWidth="1"/>
    <col min="9491" max="9491" width="37.44140625" style="5" customWidth="1"/>
    <col min="9492" max="9492" width="0" style="5" hidden="1" customWidth="1"/>
    <col min="9493" max="9493" width="27" style="5" customWidth="1"/>
    <col min="9494" max="9494" width="16.44140625" style="5" customWidth="1"/>
    <col min="9495" max="9495" width="0" style="5" hidden="1" customWidth="1"/>
    <col min="9496" max="9496" width="15.109375" style="5" customWidth="1"/>
    <col min="9497" max="9497" width="16.44140625" style="5" customWidth="1"/>
    <col min="9498" max="9498" width="16.5546875" style="5" customWidth="1"/>
    <col min="9499" max="9499" width="14.44140625" style="5" customWidth="1"/>
    <col min="9500" max="9500" width="16.5546875" style="5" customWidth="1"/>
    <col min="9501" max="9501" width="15.109375" style="5" customWidth="1"/>
    <col min="9502" max="9513" width="0" style="5" hidden="1" customWidth="1"/>
    <col min="9514" max="9514" width="9.109375" style="5" customWidth="1"/>
    <col min="9515" max="9516" width="0" style="5" hidden="1" customWidth="1"/>
    <col min="9517" max="9517" width="9.109375" style="5" customWidth="1"/>
    <col min="9518" max="9519" width="0" style="5" hidden="1" customWidth="1"/>
    <col min="9520" max="9738" width="9.109375" style="5" customWidth="1"/>
    <col min="9739" max="9739" width="56.109375" style="5" customWidth="1"/>
    <col min="9740" max="9745" width="7.6640625" style="5"/>
    <col min="9746" max="9746" width="20.44140625" style="5" customWidth="1"/>
    <col min="9747" max="9747" width="37.44140625" style="5" customWidth="1"/>
    <col min="9748" max="9748" width="0" style="5" hidden="1" customWidth="1"/>
    <col min="9749" max="9749" width="27" style="5" customWidth="1"/>
    <col min="9750" max="9750" width="16.44140625" style="5" customWidth="1"/>
    <col min="9751" max="9751" width="0" style="5" hidden="1" customWidth="1"/>
    <col min="9752" max="9752" width="15.109375" style="5" customWidth="1"/>
    <col min="9753" max="9753" width="16.44140625" style="5" customWidth="1"/>
    <col min="9754" max="9754" width="16.5546875" style="5" customWidth="1"/>
    <col min="9755" max="9755" width="14.44140625" style="5" customWidth="1"/>
    <col min="9756" max="9756" width="16.5546875" style="5" customWidth="1"/>
    <col min="9757" max="9757" width="15.109375" style="5" customWidth="1"/>
    <col min="9758" max="9769" width="0" style="5" hidden="1" customWidth="1"/>
    <col min="9770" max="9770" width="9.109375" style="5" customWidth="1"/>
    <col min="9771" max="9772" width="0" style="5" hidden="1" customWidth="1"/>
    <col min="9773" max="9773" width="9.109375" style="5" customWidth="1"/>
    <col min="9774" max="9775" width="0" style="5" hidden="1" customWidth="1"/>
    <col min="9776" max="9994" width="9.109375" style="5" customWidth="1"/>
    <col min="9995" max="9995" width="56.109375" style="5" customWidth="1"/>
    <col min="9996" max="10001" width="7.6640625" style="5"/>
    <col min="10002" max="10002" width="20.44140625" style="5" customWidth="1"/>
    <col min="10003" max="10003" width="37.44140625" style="5" customWidth="1"/>
    <col min="10004" max="10004" width="0" style="5" hidden="1" customWidth="1"/>
    <col min="10005" max="10005" width="27" style="5" customWidth="1"/>
    <col min="10006" max="10006" width="16.44140625" style="5" customWidth="1"/>
    <col min="10007" max="10007" width="0" style="5" hidden="1" customWidth="1"/>
    <col min="10008" max="10008" width="15.109375" style="5" customWidth="1"/>
    <col min="10009" max="10009" width="16.44140625" style="5" customWidth="1"/>
    <col min="10010" max="10010" width="16.5546875" style="5" customWidth="1"/>
    <col min="10011" max="10011" width="14.44140625" style="5" customWidth="1"/>
    <col min="10012" max="10012" width="16.5546875" style="5" customWidth="1"/>
    <col min="10013" max="10013" width="15.109375" style="5" customWidth="1"/>
    <col min="10014" max="10025" width="0" style="5" hidden="1" customWidth="1"/>
    <col min="10026" max="10026" width="9.109375" style="5" customWidth="1"/>
    <col min="10027" max="10028" width="0" style="5" hidden="1" customWidth="1"/>
    <col min="10029" max="10029" width="9.109375" style="5" customWidth="1"/>
    <col min="10030" max="10031" width="0" style="5" hidden="1" customWidth="1"/>
    <col min="10032" max="10250" width="9.109375" style="5" customWidth="1"/>
    <col min="10251" max="10251" width="56.109375" style="5" customWidth="1"/>
    <col min="10252" max="10257" width="7.6640625" style="5"/>
    <col min="10258" max="10258" width="20.44140625" style="5" customWidth="1"/>
    <col min="10259" max="10259" width="37.44140625" style="5" customWidth="1"/>
    <col min="10260" max="10260" width="0" style="5" hidden="1" customWidth="1"/>
    <col min="10261" max="10261" width="27" style="5" customWidth="1"/>
    <col min="10262" max="10262" width="16.44140625" style="5" customWidth="1"/>
    <col min="10263" max="10263" width="0" style="5" hidden="1" customWidth="1"/>
    <col min="10264" max="10264" width="15.109375" style="5" customWidth="1"/>
    <col min="10265" max="10265" width="16.44140625" style="5" customWidth="1"/>
    <col min="10266" max="10266" width="16.5546875" style="5" customWidth="1"/>
    <col min="10267" max="10267" width="14.44140625" style="5" customWidth="1"/>
    <col min="10268" max="10268" width="16.5546875" style="5" customWidth="1"/>
    <col min="10269" max="10269" width="15.109375" style="5" customWidth="1"/>
    <col min="10270" max="10281" width="0" style="5" hidden="1" customWidth="1"/>
    <col min="10282" max="10282" width="9.109375" style="5" customWidth="1"/>
    <col min="10283" max="10284" width="0" style="5" hidden="1" customWidth="1"/>
    <col min="10285" max="10285" width="9.109375" style="5" customWidth="1"/>
    <col min="10286" max="10287" width="0" style="5" hidden="1" customWidth="1"/>
    <col min="10288" max="10506" width="9.109375" style="5" customWidth="1"/>
    <col min="10507" max="10507" width="56.109375" style="5" customWidth="1"/>
    <col min="10508" max="10513" width="7.6640625" style="5"/>
    <col min="10514" max="10514" width="20.44140625" style="5" customWidth="1"/>
    <col min="10515" max="10515" width="37.44140625" style="5" customWidth="1"/>
    <col min="10516" max="10516" width="0" style="5" hidden="1" customWidth="1"/>
    <col min="10517" max="10517" width="27" style="5" customWidth="1"/>
    <col min="10518" max="10518" width="16.44140625" style="5" customWidth="1"/>
    <col min="10519" max="10519" width="0" style="5" hidden="1" customWidth="1"/>
    <col min="10520" max="10520" width="15.109375" style="5" customWidth="1"/>
    <col min="10521" max="10521" width="16.44140625" style="5" customWidth="1"/>
    <col min="10522" max="10522" width="16.5546875" style="5" customWidth="1"/>
    <col min="10523" max="10523" width="14.44140625" style="5" customWidth="1"/>
    <col min="10524" max="10524" width="16.5546875" style="5" customWidth="1"/>
    <col min="10525" max="10525" width="15.109375" style="5" customWidth="1"/>
    <col min="10526" max="10537" width="0" style="5" hidden="1" customWidth="1"/>
    <col min="10538" max="10538" width="9.109375" style="5" customWidth="1"/>
    <col min="10539" max="10540" width="0" style="5" hidden="1" customWidth="1"/>
    <col min="10541" max="10541" width="9.109375" style="5" customWidth="1"/>
    <col min="10542" max="10543" width="0" style="5" hidden="1" customWidth="1"/>
    <col min="10544" max="10762" width="9.109375" style="5" customWidth="1"/>
    <col min="10763" max="10763" width="56.109375" style="5" customWidth="1"/>
    <col min="10764" max="10769" width="7.6640625" style="5"/>
    <col min="10770" max="10770" width="20.44140625" style="5" customWidth="1"/>
    <col min="10771" max="10771" width="37.44140625" style="5" customWidth="1"/>
    <col min="10772" max="10772" width="0" style="5" hidden="1" customWidth="1"/>
    <col min="10773" max="10773" width="27" style="5" customWidth="1"/>
    <col min="10774" max="10774" width="16.44140625" style="5" customWidth="1"/>
    <col min="10775" max="10775" width="0" style="5" hidden="1" customWidth="1"/>
    <col min="10776" max="10776" width="15.109375" style="5" customWidth="1"/>
    <col min="10777" max="10777" width="16.44140625" style="5" customWidth="1"/>
    <col min="10778" max="10778" width="16.5546875" style="5" customWidth="1"/>
    <col min="10779" max="10779" width="14.44140625" style="5" customWidth="1"/>
    <col min="10780" max="10780" width="16.5546875" style="5" customWidth="1"/>
    <col min="10781" max="10781" width="15.109375" style="5" customWidth="1"/>
    <col min="10782" max="10793" width="0" style="5" hidden="1" customWidth="1"/>
    <col min="10794" max="10794" width="9.109375" style="5" customWidth="1"/>
    <col min="10795" max="10796" width="0" style="5" hidden="1" customWidth="1"/>
    <col min="10797" max="10797" width="9.109375" style="5" customWidth="1"/>
    <col min="10798" max="10799" width="0" style="5" hidden="1" customWidth="1"/>
    <col min="10800" max="11018" width="9.109375" style="5" customWidth="1"/>
    <col min="11019" max="11019" width="56.109375" style="5" customWidth="1"/>
    <col min="11020" max="11025" width="7.6640625" style="5"/>
    <col min="11026" max="11026" width="20.44140625" style="5" customWidth="1"/>
    <col min="11027" max="11027" width="37.44140625" style="5" customWidth="1"/>
    <col min="11028" max="11028" width="0" style="5" hidden="1" customWidth="1"/>
    <col min="11029" max="11029" width="27" style="5" customWidth="1"/>
    <col min="11030" max="11030" width="16.44140625" style="5" customWidth="1"/>
    <col min="11031" max="11031" width="0" style="5" hidden="1" customWidth="1"/>
    <col min="11032" max="11032" width="15.109375" style="5" customWidth="1"/>
    <col min="11033" max="11033" width="16.44140625" style="5" customWidth="1"/>
    <col min="11034" max="11034" width="16.5546875" style="5" customWidth="1"/>
    <col min="11035" max="11035" width="14.44140625" style="5" customWidth="1"/>
    <col min="11036" max="11036" width="16.5546875" style="5" customWidth="1"/>
    <col min="11037" max="11037" width="15.109375" style="5" customWidth="1"/>
    <col min="11038" max="11049" width="0" style="5" hidden="1" customWidth="1"/>
    <col min="11050" max="11050" width="9.109375" style="5" customWidth="1"/>
    <col min="11051" max="11052" width="0" style="5" hidden="1" customWidth="1"/>
    <col min="11053" max="11053" width="9.109375" style="5" customWidth="1"/>
    <col min="11054" max="11055" width="0" style="5" hidden="1" customWidth="1"/>
    <col min="11056" max="11274" width="9.109375" style="5" customWidth="1"/>
    <col min="11275" max="11275" width="56.109375" style="5" customWidth="1"/>
    <col min="11276" max="11281" width="7.6640625" style="5"/>
    <col min="11282" max="11282" width="20.44140625" style="5" customWidth="1"/>
    <col min="11283" max="11283" width="37.44140625" style="5" customWidth="1"/>
    <col min="11284" max="11284" width="0" style="5" hidden="1" customWidth="1"/>
    <col min="11285" max="11285" width="27" style="5" customWidth="1"/>
    <col min="11286" max="11286" width="16.44140625" style="5" customWidth="1"/>
    <col min="11287" max="11287" width="0" style="5" hidden="1" customWidth="1"/>
    <col min="11288" max="11288" width="15.109375" style="5" customWidth="1"/>
    <col min="11289" max="11289" width="16.44140625" style="5" customWidth="1"/>
    <col min="11290" max="11290" width="16.5546875" style="5" customWidth="1"/>
    <col min="11291" max="11291" width="14.44140625" style="5" customWidth="1"/>
    <col min="11292" max="11292" width="16.5546875" style="5" customWidth="1"/>
    <col min="11293" max="11293" width="15.109375" style="5" customWidth="1"/>
    <col min="11294" max="11305" width="0" style="5" hidden="1" customWidth="1"/>
    <col min="11306" max="11306" width="9.109375" style="5" customWidth="1"/>
    <col min="11307" max="11308" width="0" style="5" hidden="1" customWidth="1"/>
    <col min="11309" max="11309" width="9.109375" style="5" customWidth="1"/>
    <col min="11310" max="11311" width="0" style="5" hidden="1" customWidth="1"/>
    <col min="11312" max="11530" width="9.109375" style="5" customWidth="1"/>
    <col min="11531" max="11531" width="56.109375" style="5" customWidth="1"/>
    <col min="11532" max="11537" width="7.6640625" style="5"/>
    <col min="11538" max="11538" width="20.44140625" style="5" customWidth="1"/>
    <col min="11539" max="11539" width="37.44140625" style="5" customWidth="1"/>
    <col min="11540" max="11540" width="0" style="5" hidden="1" customWidth="1"/>
    <col min="11541" max="11541" width="27" style="5" customWidth="1"/>
    <col min="11542" max="11542" width="16.44140625" style="5" customWidth="1"/>
    <col min="11543" max="11543" width="0" style="5" hidden="1" customWidth="1"/>
    <col min="11544" max="11544" width="15.109375" style="5" customWidth="1"/>
    <col min="11545" max="11545" width="16.44140625" style="5" customWidth="1"/>
    <col min="11546" max="11546" width="16.5546875" style="5" customWidth="1"/>
    <col min="11547" max="11547" width="14.44140625" style="5" customWidth="1"/>
    <col min="11548" max="11548" width="16.5546875" style="5" customWidth="1"/>
    <col min="11549" max="11549" width="15.109375" style="5" customWidth="1"/>
    <col min="11550" max="11561" width="0" style="5" hidden="1" customWidth="1"/>
    <col min="11562" max="11562" width="9.109375" style="5" customWidth="1"/>
    <col min="11563" max="11564" width="0" style="5" hidden="1" customWidth="1"/>
    <col min="11565" max="11565" width="9.109375" style="5" customWidth="1"/>
    <col min="11566" max="11567" width="0" style="5" hidden="1" customWidth="1"/>
    <col min="11568" max="11786" width="9.109375" style="5" customWidth="1"/>
    <col min="11787" max="11787" width="56.109375" style="5" customWidth="1"/>
    <col min="11788" max="11793" width="7.6640625" style="5"/>
    <col min="11794" max="11794" width="20.44140625" style="5" customWidth="1"/>
    <col min="11795" max="11795" width="37.44140625" style="5" customWidth="1"/>
    <col min="11796" max="11796" width="0" style="5" hidden="1" customWidth="1"/>
    <col min="11797" max="11797" width="27" style="5" customWidth="1"/>
    <col min="11798" max="11798" width="16.44140625" style="5" customWidth="1"/>
    <col min="11799" max="11799" width="0" style="5" hidden="1" customWidth="1"/>
    <col min="11800" max="11800" width="15.109375" style="5" customWidth="1"/>
    <col min="11801" max="11801" width="16.44140625" style="5" customWidth="1"/>
    <col min="11802" max="11802" width="16.5546875" style="5" customWidth="1"/>
    <col min="11803" max="11803" width="14.44140625" style="5" customWidth="1"/>
    <col min="11804" max="11804" width="16.5546875" style="5" customWidth="1"/>
    <col min="11805" max="11805" width="15.109375" style="5" customWidth="1"/>
    <col min="11806" max="11817" width="0" style="5" hidden="1" customWidth="1"/>
    <col min="11818" max="11818" width="9.109375" style="5" customWidth="1"/>
    <col min="11819" max="11820" width="0" style="5" hidden="1" customWidth="1"/>
    <col min="11821" max="11821" width="9.109375" style="5" customWidth="1"/>
    <col min="11822" max="11823" width="0" style="5" hidden="1" customWidth="1"/>
    <col min="11824" max="12042" width="9.109375" style="5" customWidth="1"/>
    <col min="12043" max="12043" width="56.109375" style="5" customWidth="1"/>
    <col min="12044" max="12049" width="7.6640625" style="5"/>
    <col min="12050" max="12050" width="20.44140625" style="5" customWidth="1"/>
    <col min="12051" max="12051" width="37.44140625" style="5" customWidth="1"/>
    <col min="12052" max="12052" width="0" style="5" hidden="1" customWidth="1"/>
    <col min="12053" max="12053" width="27" style="5" customWidth="1"/>
    <col min="12054" max="12054" width="16.44140625" style="5" customWidth="1"/>
    <col min="12055" max="12055" width="0" style="5" hidden="1" customWidth="1"/>
    <col min="12056" max="12056" width="15.109375" style="5" customWidth="1"/>
    <col min="12057" max="12057" width="16.44140625" style="5" customWidth="1"/>
    <col min="12058" max="12058" width="16.5546875" style="5" customWidth="1"/>
    <col min="12059" max="12059" width="14.44140625" style="5" customWidth="1"/>
    <col min="12060" max="12060" width="16.5546875" style="5" customWidth="1"/>
    <col min="12061" max="12061" width="15.109375" style="5" customWidth="1"/>
    <col min="12062" max="12073" width="0" style="5" hidden="1" customWidth="1"/>
    <col min="12074" max="12074" width="9.109375" style="5" customWidth="1"/>
    <col min="12075" max="12076" width="0" style="5" hidden="1" customWidth="1"/>
    <col min="12077" max="12077" width="9.109375" style="5" customWidth="1"/>
    <col min="12078" max="12079" width="0" style="5" hidden="1" customWidth="1"/>
    <col min="12080" max="12298" width="9.109375" style="5" customWidth="1"/>
    <col min="12299" max="12299" width="56.109375" style="5" customWidth="1"/>
    <col min="12300" max="12305" width="7.6640625" style="5"/>
    <col min="12306" max="12306" width="20.44140625" style="5" customWidth="1"/>
    <col min="12307" max="12307" width="37.44140625" style="5" customWidth="1"/>
    <col min="12308" max="12308" width="0" style="5" hidden="1" customWidth="1"/>
    <col min="12309" max="12309" width="27" style="5" customWidth="1"/>
    <col min="12310" max="12310" width="16.44140625" style="5" customWidth="1"/>
    <col min="12311" max="12311" width="0" style="5" hidden="1" customWidth="1"/>
    <col min="12312" max="12312" width="15.109375" style="5" customWidth="1"/>
    <col min="12313" max="12313" width="16.44140625" style="5" customWidth="1"/>
    <col min="12314" max="12314" width="16.5546875" style="5" customWidth="1"/>
    <col min="12315" max="12315" width="14.44140625" style="5" customWidth="1"/>
    <col min="12316" max="12316" width="16.5546875" style="5" customWidth="1"/>
    <col min="12317" max="12317" width="15.109375" style="5" customWidth="1"/>
    <col min="12318" max="12329" width="0" style="5" hidden="1" customWidth="1"/>
    <col min="12330" max="12330" width="9.109375" style="5" customWidth="1"/>
    <col min="12331" max="12332" width="0" style="5" hidden="1" customWidth="1"/>
    <col min="12333" max="12333" width="9.109375" style="5" customWidth="1"/>
    <col min="12334" max="12335" width="0" style="5" hidden="1" customWidth="1"/>
    <col min="12336" max="12554" width="9.109375" style="5" customWidth="1"/>
    <col min="12555" max="12555" width="56.109375" style="5" customWidth="1"/>
    <col min="12556" max="12561" width="7.6640625" style="5"/>
    <col min="12562" max="12562" width="20.44140625" style="5" customWidth="1"/>
    <col min="12563" max="12563" width="37.44140625" style="5" customWidth="1"/>
    <col min="12564" max="12564" width="0" style="5" hidden="1" customWidth="1"/>
    <col min="12565" max="12565" width="27" style="5" customWidth="1"/>
    <col min="12566" max="12566" width="16.44140625" style="5" customWidth="1"/>
    <col min="12567" max="12567" width="0" style="5" hidden="1" customWidth="1"/>
    <col min="12568" max="12568" width="15.109375" style="5" customWidth="1"/>
    <col min="12569" max="12569" width="16.44140625" style="5" customWidth="1"/>
    <col min="12570" max="12570" width="16.5546875" style="5" customWidth="1"/>
    <col min="12571" max="12571" width="14.44140625" style="5" customWidth="1"/>
    <col min="12572" max="12572" width="16.5546875" style="5" customWidth="1"/>
    <col min="12573" max="12573" width="15.109375" style="5" customWidth="1"/>
    <col min="12574" max="12585" width="0" style="5" hidden="1" customWidth="1"/>
    <col min="12586" max="12586" width="9.109375" style="5" customWidth="1"/>
    <col min="12587" max="12588" width="0" style="5" hidden="1" customWidth="1"/>
    <col min="12589" max="12589" width="9.109375" style="5" customWidth="1"/>
    <col min="12590" max="12591" width="0" style="5" hidden="1" customWidth="1"/>
    <col min="12592" max="12810" width="9.109375" style="5" customWidth="1"/>
    <col min="12811" max="12811" width="56.109375" style="5" customWidth="1"/>
    <col min="12812" max="12817" width="7.6640625" style="5"/>
    <col min="12818" max="12818" width="20.44140625" style="5" customWidth="1"/>
    <col min="12819" max="12819" width="37.44140625" style="5" customWidth="1"/>
    <col min="12820" max="12820" width="0" style="5" hidden="1" customWidth="1"/>
    <col min="12821" max="12821" width="27" style="5" customWidth="1"/>
    <col min="12822" max="12822" width="16.44140625" style="5" customWidth="1"/>
    <col min="12823" max="12823" width="0" style="5" hidden="1" customWidth="1"/>
    <col min="12824" max="12824" width="15.109375" style="5" customWidth="1"/>
    <col min="12825" max="12825" width="16.44140625" style="5" customWidth="1"/>
    <col min="12826" max="12826" width="16.5546875" style="5" customWidth="1"/>
    <col min="12827" max="12827" width="14.44140625" style="5" customWidth="1"/>
    <col min="12828" max="12828" width="16.5546875" style="5" customWidth="1"/>
    <col min="12829" max="12829" width="15.109375" style="5" customWidth="1"/>
    <col min="12830" max="12841" width="0" style="5" hidden="1" customWidth="1"/>
    <col min="12842" max="12842" width="9.109375" style="5" customWidth="1"/>
    <col min="12843" max="12844" width="0" style="5" hidden="1" customWidth="1"/>
    <col min="12845" max="12845" width="9.109375" style="5" customWidth="1"/>
    <col min="12846" max="12847" width="0" style="5" hidden="1" customWidth="1"/>
    <col min="12848" max="13066" width="9.109375" style="5" customWidth="1"/>
    <col min="13067" max="13067" width="56.109375" style="5" customWidth="1"/>
    <col min="13068" max="13073" width="7.6640625" style="5"/>
    <col min="13074" max="13074" width="20.44140625" style="5" customWidth="1"/>
    <col min="13075" max="13075" width="37.44140625" style="5" customWidth="1"/>
    <col min="13076" max="13076" width="0" style="5" hidden="1" customWidth="1"/>
    <col min="13077" max="13077" width="27" style="5" customWidth="1"/>
    <col min="13078" max="13078" width="16.44140625" style="5" customWidth="1"/>
    <col min="13079" max="13079" width="0" style="5" hidden="1" customWidth="1"/>
    <col min="13080" max="13080" width="15.109375" style="5" customWidth="1"/>
    <col min="13081" max="13081" width="16.44140625" style="5" customWidth="1"/>
    <col min="13082" max="13082" width="16.5546875" style="5" customWidth="1"/>
    <col min="13083" max="13083" width="14.44140625" style="5" customWidth="1"/>
    <col min="13084" max="13084" width="16.5546875" style="5" customWidth="1"/>
    <col min="13085" max="13085" width="15.109375" style="5" customWidth="1"/>
    <col min="13086" max="13097" width="0" style="5" hidden="1" customWidth="1"/>
    <col min="13098" max="13098" width="9.109375" style="5" customWidth="1"/>
    <col min="13099" max="13100" width="0" style="5" hidden="1" customWidth="1"/>
    <col min="13101" max="13101" width="9.109375" style="5" customWidth="1"/>
    <col min="13102" max="13103" width="0" style="5" hidden="1" customWidth="1"/>
    <col min="13104" max="13322" width="9.109375" style="5" customWidth="1"/>
    <col min="13323" max="13323" width="56.109375" style="5" customWidth="1"/>
    <col min="13324" max="13329" width="7.6640625" style="5"/>
    <col min="13330" max="13330" width="20.44140625" style="5" customWidth="1"/>
    <col min="13331" max="13331" width="37.44140625" style="5" customWidth="1"/>
    <col min="13332" max="13332" width="0" style="5" hidden="1" customWidth="1"/>
    <col min="13333" max="13333" width="27" style="5" customWidth="1"/>
    <col min="13334" max="13334" width="16.44140625" style="5" customWidth="1"/>
    <col min="13335" max="13335" width="0" style="5" hidden="1" customWidth="1"/>
    <col min="13336" max="13336" width="15.109375" style="5" customWidth="1"/>
    <col min="13337" max="13337" width="16.44140625" style="5" customWidth="1"/>
    <col min="13338" max="13338" width="16.5546875" style="5" customWidth="1"/>
    <col min="13339" max="13339" width="14.44140625" style="5" customWidth="1"/>
    <col min="13340" max="13340" width="16.5546875" style="5" customWidth="1"/>
    <col min="13341" max="13341" width="15.109375" style="5" customWidth="1"/>
    <col min="13342" max="13353" width="0" style="5" hidden="1" customWidth="1"/>
    <col min="13354" max="13354" width="9.109375" style="5" customWidth="1"/>
    <col min="13355" max="13356" width="0" style="5" hidden="1" customWidth="1"/>
    <col min="13357" max="13357" width="9.109375" style="5" customWidth="1"/>
    <col min="13358" max="13359" width="0" style="5" hidden="1" customWidth="1"/>
    <col min="13360" max="13578" width="9.109375" style="5" customWidth="1"/>
    <col min="13579" max="13579" width="56.109375" style="5" customWidth="1"/>
    <col min="13580" max="13585" width="7.6640625" style="5"/>
    <col min="13586" max="13586" width="20.44140625" style="5" customWidth="1"/>
    <col min="13587" max="13587" width="37.44140625" style="5" customWidth="1"/>
    <col min="13588" max="13588" width="0" style="5" hidden="1" customWidth="1"/>
    <col min="13589" max="13589" width="27" style="5" customWidth="1"/>
    <col min="13590" max="13590" width="16.44140625" style="5" customWidth="1"/>
    <col min="13591" max="13591" width="0" style="5" hidden="1" customWidth="1"/>
    <col min="13592" max="13592" width="15.109375" style="5" customWidth="1"/>
    <col min="13593" max="13593" width="16.44140625" style="5" customWidth="1"/>
    <col min="13594" max="13594" width="16.5546875" style="5" customWidth="1"/>
    <col min="13595" max="13595" width="14.44140625" style="5" customWidth="1"/>
    <col min="13596" max="13596" width="16.5546875" style="5" customWidth="1"/>
    <col min="13597" max="13597" width="15.109375" style="5" customWidth="1"/>
    <col min="13598" max="13609" width="0" style="5" hidden="1" customWidth="1"/>
    <col min="13610" max="13610" width="9.109375" style="5" customWidth="1"/>
    <col min="13611" max="13612" width="0" style="5" hidden="1" customWidth="1"/>
    <col min="13613" max="13613" width="9.109375" style="5" customWidth="1"/>
    <col min="13614" max="13615" width="0" style="5" hidden="1" customWidth="1"/>
    <col min="13616" max="13834" width="9.109375" style="5" customWidth="1"/>
    <col min="13835" max="13835" width="56.109375" style="5" customWidth="1"/>
    <col min="13836" max="13841" width="7.6640625" style="5"/>
    <col min="13842" max="13842" width="20.44140625" style="5" customWidth="1"/>
    <col min="13843" max="13843" width="37.44140625" style="5" customWidth="1"/>
    <col min="13844" max="13844" width="0" style="5" hidden="1" customWidth="1"/>
    <col min="13845" max="13845" width="27" style="5" customWidth="1"/>
    <col min="13846" max="13846" width="16.44140625" style="5" customWidth="1"/>
    <col min="13847" max="13847" width="0" style="5" hidden="1" customWidth="1"/>
    <col min="13848" max="13848" width="15.109375" style="5" customWidth="1"/>
    <col min="13849" max="13849" width="16.44140625" style="5" customWidth="1"/>
    <col min="13850" max="13850" width="16.5546875" style="5" customWidth="1"/>
    <col min="13851" max="13851" width="14.44140625" style="5" customWidth="1"/>
    <col min="13852" max="13852" width="16.5546875" style="5" customWidth="1"/>
    <col min="13853" max="13853" width="15.109375" style="5" customWidth="1"/>
    <col min="13854" max="13865" width="0" style="5" hidden="1" customWidth="1"/>
    <col min="13866" max="13866" width="9.109375" style="5" customWidth="1"/>
    <col min="13867" max="13868" width="0" style="5" hidden="1" customWidth="1"/>
    <col min="13869" max="13869" width="9.109375" style="5" customWidth="1"/>
    <col min="13870" max="13871" width="0" style="5" hidden="1" customWidth="1"/>
    <col min="13872" max="14090" width="9.109375" style="5" customWidth="1"/>
    <col min="14091" max="14091" width="56.109375" style="5" customWidth="1"/>
    <col min="14092" max="14097" width="7.6640625" style="5"/>
    <col min="14098" max="14098" width="20.44140625" style="5" customWidth="1"/>
    <col min="14099" max="14099" width="37.44140625" style="5" customWidth="1"/>
    <col min="14100" max="14100" width="0" style="5" hidden="1" customWidth="1"/>
    <col min="14101" max="14101" width="27" style="5" customWidth="1"/>
    <col min="14102" max="14102" width="16.44140625" style="5" customWidth="1"/>
    <col min="14103" max="14103" width="0" style="5" hidden="1" customWidth="1"/>
    <col min="14104" max="14104" width="15.109375" style="5" customWidth="1"/>
    <col min="14105" max="14105" width="16.44140625" style="5" customWidth="1"/>
    <col min="14106" max="14106" width="16.5546875" style="5" customWidth="1"/>
    <col min="14107" max="14107" width="14.44140625" style="5" customWidth="1"/>
    <col min="14108" max="14108" width="16.5546875" style="5" customWidth="1"/>
    <col min="14109" max="14109" width="15.109375" style="5" customWidth="1"/>
    <col min="14110" max="14121" width="0" style="5" hidden="1" customWidth="1"/>
    <col min="14122" max="14122" width="9.109375" style="5" customWidth="1"/>
    <col min="14123" max="14124" width="0" style="5" hidden="1" customWidth="1"/>
    <col min="14125" max="14125" width="9.109375" style="5" customWidth="1"/>
    <col min="14126" max="14127" width="0" style="5" hidden="1" customWidth="1"/>
    <col min="14128" max="14346" width="9.109375" style="5" customWidth="1"/>
    <col min="14347" max="14347" width="56.109375" style="5" customWidth="1"/>
    <col min="14348" max="14353" width="7.6640625" style="5"/>
    <col min="14354" max="14354" width="20.44140625" style="5" customWidth="1"/>
    <col min="14355" max="14355" width="37.44140625" style="5" customWidth="1"/>
    <col min="14356" max="14356" width="0" style="5" hidden="1" customWidth="1"/>
    <col min="14357" max="14357" width="27" style="5" customWidth="1"/>
    <col min="14358" max="14358" width="16.44140625" style="5" customWidth="1"/>
    <col min="14359" max="14359" width="0" style="5" hidden="1" customWidth="1"/>
    <col min="14360" max="14360" width="15.109375" style="5" customWidth="1"/>
    <col min="14361" max="14361" width="16.44140625" style="5" customWidth="1"/>
    <col min="14362" max="14362" width="16.5546875" style="5" customWidth="1"/>
    <col min="14363" max="14363" width="14.44140625" style="5" customWidth="1"/>
    <col min="14364" max="14364" width="16.5546875" style="5" customWidth="1"/>
    <col min="14365" max="14365" width="15.109375" style="5" customWidth="1"/>
    <col min="14366" max="14377" width="0" style="5" hidden="1" customWidth="1"/>
    <col min="14378" max="14378" width="9.109375" style="5" customWidth="1"/>
    <col min="14379" max="14380" width="0" style="5" hidden="1" customWidth="1"/>
    <col min="14381" max="14381" width="9.109375" style="5" customWidth="1"/>
    <col min="14382" max="14383" width="0" style="5" hidden="1" customWidth="1"/>
    <col min="14384" max="14602" width="9.109375" style="5" customWidth="1"/>
    <col min="14603" max="14603" width="56.109375" style="5" customWidth="1"/>
    <col min="14604" max="14609" width="7.6640625" style="5"/>
    <col min="14610" max="14610" width="20.44140625" style="5" customWidth="1"/>
    <col min="14611" max="14611" width="37.44140625" style="5" customWidth="1"/>
    <col min="14612" max="14612" width="0" style="5" hidden="1" customWidth="1"/>
    <col min="14613" max="14613" width="27" style="5" customWidth="1"/>
    <col min="14614" max="14614" width="16.44140625" style="5" customWidth="1"/>
    <col min="14615" max="14615" width="0" style="5" hidden="1" customWidth="1"/>
    <col min="14616" max="14616" width="15.109375" style="5" customWidth="1"/>
    <col min="14617" max="14617" width="16.44140625" style="5" customWidth="1"/>
    <col min="14618" max="14618" width="16.5546875" style="5" customWidth="1"/>
    <col min="14619" max="14619" width="14.44140625" style="5" customWidth="1"/>
    <col min="14620" max="14620" width="16.5546875" style="5" customWidth="1"/>
    <col min="14621" max="14621" width="15.109375" style="5" customWidth="1"/>
    <col min="14622" max="14633" width="0" style="5" hidden="1" customWidth="1"/>
    <col min="14634" max="14634" width="9.109375" style="5" customWidth="1"/>
    <col min="14635" max="14636" width="0" style="5" hidden="1" customWidth="1"/>
    <col min="14637" max="14637" width="9.109375" style="5" customWidth="1"/>
    <col min="14638" max="14639" width="0" style="5" hidden="1" customWidth="1"/>
    <col min="14640" max="14858" width="9.109375" style="5" customWidth="1"/>
    <col min="14859" max="14859" width="56.109375" style="5" customWidth="1"/>
    <col min="14860" max="14865" width="7.6640625" style="5"/>
    <col min="14866" max="14866" width="20.44140625" style="5" customWidth="1"/>
    <col min="14867" max="14867" width="37.44140625" style="5" customWidth="1"/>
    <col min="14868" max="14868" width="0" style="5" hidden="1" customWidth="1"/>
    <col min="14869" max="14869" width="27" style="5" customWidth="1"/>
    <col min="14870" max="14870" width="16.44140625" style="5" customWidth="1"/>
    <col min="14871" max="14871" width="0" style="5" hidden="1" customWidth="1"/>
    <col min="14872" max="14872" width="15.109375" style="5" customWidth="1"/>
    <col min="14873" max="14873" width="16.44140625" style="5" customWidth="1"/>
    <col min="14874" max="14874" width="16.5546875" style="5" customWidth="1"/>
    <col min="14875" max="14875" width="14.44140625" style="5" customWidth="1"/>
    <col min="14876" max="14876" width="16.5546875" style="5" customWidth="1"/>
    <col min="14877" max="14877" width="15.109375" style="5" customWidth="1"/>
    <col min="14878" max="14889" width="0" style="5" hidden="1" customWidth="1"/>
    <col min="14890" max="14890" width="9.109375" style="5" customWidth="1"/>
    <col min="14891" max="14892" width="0" style="5" hidden="1" customWidth="1"/>
    <col min="14893" max="14893" width="9.109375" style="5" customWidth="1"/>
    <col min="14894" max="14895" width="0" style="5" hidden="1" customWidth="1"/>
    <col min="14896" max="15114" width="9.109375" style="5" customWidth="1"/>
    <col min="15115" max="15115" width="56.109375" style="5" customWidth="1"/>
    <col min="15116" max="15121" width="7.6640625" style="5"/>
    <col min="15122" max="15122" width="20.44140625" style="5" customWidth="1"/>
    <col min="15123" max="15123" width="37.44140625" style="5" customWidth="1"/>
    <col min="15124" max="15124" width="0" style="5" hidden="1" customWidth="1"/>
    <col min="15125" max="15125" width="27" style="5" customWidth="1"/>
    <col min="15126" max="15126" width="16.44140625" style="5" customWidth="1"/>
    <col min="15127" max="15127" width="0" style="5" hidden="1" customWidth="1"/>
    <col min="15128" max="15128" width="15.109375" style="5" customWidth="1"/>
    <col min="15129" max="15129" width="16.44140625" style="5" customWidth="1"/>
    <col min="15130" max="15130" width="16.5546875" style="5" customWidth="1"/>
    <col min="15131" max="15131" width="14.44140625" style="5" customWidth="1"/>
    <col min="15132" max="15132" width="16.5546875" style="5" customWidth="1"/>
    <col min="15133" max="15133" width="15.109375" style="5" customWidth="1"/>
    <col min="15134" max="15145" width="0" style="5" hidden="1" customWidth="1"/>
    <col min="15146" max="15146" width="9.109375" style="5" customWidth="1"/>
    <col min="15147" max="15148" width="0" style="5" hidden="1" customWidth="1"/>
    <col min="15149" max="15149" width="9.109375" style="5" customWidth="1"/>
    <col min="15150" max="15151" width="0" style="5" hidden="1" customWidth="1"/>
    <col min="15152" max="15370" width="9.109375" style="5" customWidth="1"/>
    <col min="15371" max="15371" width="56.109375" style="5" customWidth="1"/>
    <col min="15372" max="15377" width="7.6640625" style="5"/>
    <col min="15378" max="15378" width="20.44140625" style="5" customWidth="1"/>
    <col min="15379" max="15379" width="37.44140625" style="5" customWidth="1"/>
    <col min="15380" max="15380" width="0" style="5" hidden="1" customWidth="1"/>
    <col min="15381" max="15381" width="27" style="5" customWidth="1"/>
    <col min="15382" max="15382" width="16.44140625" style="5" customWidth="1"/>
    <col min="15383" max="15383" width="0" style="5" hidden="1" customWidth="1"/>
    <col min="15384" max="15384" width="15.109375" style="5" customWidth="1"/>
    <col min="15385" max="15385" width="16.44140625" style="5" customWidth="1"/>
    <col min="15386" max="15386" width="16.5546875" style="5" customWidth="1"/>
    <col min="15387" max="15387" width="14.44140625" style="5" customWidth="1"/>
    <col min="15388" max="15388" width="16.5546875" style="5" customWidth="1"/>
    <col min="15389" max="15389" width="15.109375" style="5" customWidth="1"/>
    <col min="15390" max="15401" width="0" style="5" hidden="1" customWidth="1"/>
    <col min="15402" max="15402" width="9.109375" style="5" customWidth="1"/>
    <col min="15403" max="15404" width="0" style="5" hidden="1" customWidth="1"/>
    <col min="15405" max="15405" width="9.109375" style="5" customWidth="1"/>
    <col min="15406" max="15407" width="0" style="5" hidden="1" customWidth="1"/>
    <col min="15408" max="15626" width="9.109375" style="5" customWidth="1"/>
    <col min="15627" max="15627" width="56.109375" style="5" customWidth="1"/>
    <col min="15628" max="15633" width="7.6640625" style="5"/>
    <col min="15634" max="15634" width="20.44140625" style="5" customWidth="1"/>
    <col min="15635" max="15635" width="37.44140625" style="5" customWidth="1"/>
    <col min="15636" max="15636" width="0" style="5" hidden="1" customWidth="1"/>
    <col min="15637" max="15637" width="27" style="5" customWidth="1"/>
    <col min="15638" max="15638" width="16.44140625" style="5" customWidth="1"/>
    <col min="15639" max="15639" width="0" style="5" hidden="1" customWidth="1"/>
    <col min="15640" max="15640" width="15.109375" style="5" customWidth="1"/>
    <col min="15641" max="15641" width="16.44140625" style="5" customWidth="1"/>
    <col min="15642" max="15642" width="16.5546875" style="5" customWidth="1"/>
    <col min="15643" max="15643" width="14.44140625" style="5" customWidth="1"/>
    <col min="15644" max="15644" width="16.5546875" style="5" customWidth="1"/>
    <col min="15645" max="15645" width="15.109375" style="5" customWidth="1"/>
    <col min="15646" max="15657" width="0" style="5" hidden="1" customWidth="1"/>
    <col min="15658" max="15658" width="9.109375" style="5" customWidth="1"/>
    <col min="15659" max="15660" width="0" style="5" hidden="1" customWidth="1"/>
    <col min="15661" max="15661" width="9.109375" style="5" customWidth="1"/>
    <col min="15662" max="15663" width="0" style="5" hidden="1" customWidth="1"/>
    <col min="15664" max="15882" width="9.109375" style="5" customWidth="1"/>
    <col min="15883" max="15883" width="56.109375" style="5" customWidth="1"/>
    <col min="15884" max="15889" width="7.6640625" style="5"/>
    <col min="15890" max="15890" width="20.44140625" style="5" customWidth="1"/>
    <col min="15891" max="15891" width="37.44140625" style="5" customWidth="1"/>
    <col min="15892" max="15892" width="0" style="5" hidden="1" customWidth="1"/>
    <col min="15893" max="15893" width="27" style="5" customWidth="1"/>
    <col min="15894" max="15894" width="16.44140625" style="5" customWidth="1"/>
    <col min="15895" max="15895" width="0" style="5" hidden="1" customWidth="1"/>
    <col min="15896" max="15896" width="15.109375" style="5" customWidth="1"/>
    <col min="15897" max="15897" width="16.44140625" style="5" customWidth="1"/>
    <col min="15898" max="15898" width="16.5546875" style="5" customWidth="1"/>
    <col min="15899" max="15899" width="14.44140625" style="5" customWidth="1"/>
    <col min="15900" max="15900" width="16.5546875" style="5" customWidth="1"/>
    <col min="15901" max="15901" width="15.109375" style="5" customWidth="1"/>
    <col min="15902" max="15913" width="0" style="5" hidden="1" customWidth="1"/>
    <col min="15914" max="15914" width="9.109375" style="5" customWidth="1"/>
    <col min="15915" max="15916" width="0" style="5" hidden="1" customWidth="1"/>
    <col min="15917" max="15917" width="9.109375" style="5" customWidth="1"/>
    <col min="15918" max="15919" width="0" style="5" hidden="1" customWidth="1"/>
    <col min="15920" max="16138" width="9.109375" style="5" customWidth="1"/>
    <col min="16139" max="16139" width="56.109375" style="5" customWidth="1"/>
    <col min="16140" max="16145" width="7.6640625" style="5"/>
    <col min="16146" max="16146" width="20.44140625" style="5" customWidth="1"/>
    <col min="16147" max="16147" width="37.44140625" style="5" customWidth="1"/>
    <col min="16148" max="16148" width="0" style="5" hidden="1" customWidth="1"/>
    <col min="16149" max="16149" width="27" style="5" customWidth="1"/>
    <col min="16150" max="16150" width="16.44140625" style="5" customWidth="1"/>
    <col min="16151" max="16151" width="0" style="5" hidden="1" customWidth="1"/>
    <col min="16152" max="16152" width="15.109375" style="5" customWidth="1"/>
    <col min="16153" max="16153" width="16.44140625" style="5" customWidth="1"/>
    <col min="16154" max="16154" width="16.5546875" style="5" customWidth="1"/>
    <col min="16155" max="16155" width="14.44140625" style="5" customWidth="1"/>
    <col min="16156" max="16156" width="16.5546875" style="5" customWidth="1"/>
    <col min="16157" max="16157" width="15.109375" style="5" customWidth="1"/>
    <col min="16158" max="16169" width="0" style="5" hidden="1" customWidth="1"/>
    <col min="16170" max="16170" width="9.109375" style="5" customWidth="1"/>
    <col min="16171" max="16172" width="0" style="5" hidden="1" customWidth="1"/>
    <col min="16173" max="16173" width="9.109375" style="5" customWidth="1"/>
    <col min="16174" max="16175" width="0" style="5" hidden="1" customWidth="1"/>
    <col min="16176" max="16384" width="9.109375" style="5" customWidth="1"/>
  </cols>
  <sheetData>
    <row r="2" spans="1:47" ht="17.7" x14ac:dyDescent="0.3">
      <c r="O2" s="135" t="s">
        <v>207</v>
      </c>
      <c r="P2" s="135"/>
      <c r="Q2" s="135"/>
    </row>
    <row r="3" spans="1:47" ht="17.7" x14ac:dyDescent="0.3">
      <c r="O3" s="135" t="s">
        <v>170</v>
      </c>
      <c r="P3" s="135"/>
      <c r="Q3" s="135"/>
    </row>
    <row r="4" spans="1:47" ht="17.7" x14ac:dyDescent="0.3">
      <c r="O4" s="135" t="s">
        <v>169</v>
      </c>
      <c r="P4" s="135"/>
      <c r="Q4" s="135"/>
    </row>
    <row r="5" spans="1:47" ht="17.7" x14ac:dyDescent="0.3">
      <c r="O5" s="14"/>
      <c r="P5" s="14"/>
      <c r="Q5" s="14"/>
    </row>
    <row r="6" spans="1:47" ht="18.350000000000001" x14ac:dyDescent="0.35">
      <c r="A6" s="15"/>
      <c r="B6" s="15"/>
      <c r="C6" s="15"/>
      <c r="D6" s="15"/>
      <c r="N6" s="16"/>
      <c r="O6" s="144" t="s">
        <v>165</v>
      </c>
      <c r="P6" s="145"/>
      <c r="Q6" s="145"/>
    </row>
    <row r="7" spans="1:47" ht="31.6" customHeight="1" x14ac:dyDescent="0.35">
      <c r="A7" s="15"/>
      <c r="B7" s="15"/>
      <c r="C7" s="15"/>
      <c r="D7" s="15"/>
      <c r="N7" s="16"/>
      <c r="O7" s="144" t="s">
        <v>158</v>
      </c>
      <c r="P7" s="145"/>
      <c r="Q7" s="145"/>
    </row>
    <row r="8" spans="1:47" ht="20.3" customHeight="1" x14ac:dyDescent="0.35">
      <c r="A8" s="146" t="s">
        <v>0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8"/>
      <c r="N8" s="148"/>
      <c r="O8" s="148"/>
      <c r="P8" s="148"/>
      <c r="Q8" s="148"/>
      <c r="W8" s="17">
        <f>2541647.2+21464.3</f>
        <v>2563111.5</v>
      </c>
      <c r="X8" s="18"/>
      <c r="Y8" s="18"/>
      <c r="Z8" s="18"/>
      <c r="AA8" s="18"/>
      <c r="AB8" s="18"/>
    </row>
    <row r="9" spans="1:47" ht="13.75" customHeight="1" x14ac:dyDescent="0.25">
      <c r="B9" s="205"/>
      <c r="C9" s="205"/>
      <c r="D9" s="205"/>
      <c r="E9" s="205"/>
      <c r="F9" s="205"/>
      <c r="G9" s="205"/>
      <c r="H9" s="205"/>
      <c r="I9" s="5"/>
      <c r="J9" s="5"/>
      <c r="K9" s="5"/>
      <c r="L9" s="5"/>
      <c r="M9" s="5"/>
      <c r="N9" s="5"/>
      <c r="O9" s="5"/>
      <c r="P9" s="5"/>
      <c r="Q9" s="5"/>
    </row>
    <row r="10" spans="1:47" ht="18" customHeight="1" x14ac:dyDescent="0.25">
      <c r="A10" s="206" t="s">
        <v>1</v>
      </c>
      <c r="B10" s="164" t="s">
        <v>128</v>
      </c>
      <c r="C10" s="208" t="s">
        <v>2</v>
      </c>
      <c r="D10" s="164" t="s">
        <v>3</v>
      </c>
      <c r="E10" s="156" t="s">
        <v>168</v>
      </c>
      <c r="F10" s="157"/>
      <c r="G10" s="157"/>
      <c r="H10" s="157"/>
      <c r="I10" s="157"/>
      <c r="J10" s="157"/>
      <c r="K10" s="157"/>
      <c r="L10" s="157"/>
      <c r="M10" s="158"/>
      <c r="N10" s="158"/>
      <c r="O10" s="158"/>
      <c r="P10" s="158"/>
      <c r="Q10" s="159"/>
    </row>
    <row r="11" spans="1:47" ht="97.55" customHeight="1" x14ac:dyDescent="0.25">
      <c r="A11" s="207"/>
      <c r="B11" s="165"/>
      <c r="C11" s="209"/>
      <c r="D11" s="165"/>
      <c r="E11" s="92" t="s">
        <v>4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  <c r="K11" s="6" t="s">
        <v>10</v>
      </c>
      <c r="L11" s="6" t="s">
        <v>191</v>
      </c>
      <c r="M11" s="6" t="s">
        <v>197</v>
      </c>
      <c r="N11" s="6" t="s">
        <v>137</v>
      </c>
      <c r="O11" s="6" t="s">
        <v>138</v>
      </c>
      <c r="P11" s="6" t="s">
        <v>139</v>
      </c>
      <c r="Q11" s="6" t="s">
        <v>140</v>
      </c>
      <c r="T11" s="13">
        <f>J16+J17+J20</f>
        <v>2894796.5</v>
      </c>
    </row>
    <row r="12" spans="1:47" ht="15.05" x14ac:dyDescent="0.25">
      <c r="A12" s="19">
        <v>1</v>
      </c>
      <c r="B12" s="19">
        <v>2</v>
      </c>
      <c r="C12" s="19">
        <v>3</v>
      </c>
      <c r="D12" s="19">
        <v>3</v>
      </c>
      <c r="E12" s="92">
        <v>4</v>
      </c>
      <c r="F12" s="6" t="s">
        <v>11</v>
      </c>
      <c r="G12" s="6" t="s">
        <v>11</v>
      </c>
      <c r="H12" s="6" t="s">
        <v>12</v>
      </c>
      <c r="I12" s="6" t="s">
        <v>13</v>
      </c>
      <c r="J12" s="6" t="s">
        <v>14</v>
      </c>
      <c r="K12" s="6" t="s">
        <v>15</v>
      </c>
      <c r="L12" s="6" t="s">
        <v>16</v>
      </c>
      <c r="M12" s="6" t="s">
        <v>126</v>
      </c>
      <c r="N12" s="6" t="s">
        <v>141</v>
      </c>
      <c r="O12" s="6" t="s">
        <v>142</v>
      </c>
      <c r="P12" s="6" t="s">
        <v>143</v>
      </c>
      <c r="Q12" s="6" t="s">
        <v>144</v>
      </c>
      <c r="V12" s="5">
        <v>18</v>
      </c>
    </row>
    <row r="13" spans="1:47" ht="15.05" hidden="1" x14ac:dyDescent="0.25">
      <c r="A13" s="20"/>
      <c r="B13" s="21"/>
      <c r="C13" s="21"/>
      <c r="D13" s="21"/>
      <c r="E13" s="22"/>
      <c r="F13" s="7"/>
      <c r="G13" s="129" t="s">
        <v>205</v>
      </c>
      <c r="H13" s="7"/>
      <c r="I13" s="7"/>
      <c r="J13" s="7"/>
      <c r="K13" s="7"/>
      <c r="L13" s="7"/>
      <c r="M13" s="7"/>
      <c r="N13" s="7"/>
      <c r="O13" s="7"/>
      <c r="P13" s="7"/>
      <c r="Q13" s="23"/>
    </row>
    <row r="14" spans="1:47" ht="4.75" hidden="1" customHeight="1" x14ac:dyDescent="0.25">
      <c r="A14" s="20"/>
      <c r="B14" s="21"/>
      <c r="C14" s="21"/>
      <c r="D14" s="21"/>
      <c r="E14" s="22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23"/>
    </row>
    <row r="15" spans="1:47" ht="20.149999999999999" customHeight="1" x14ac:dyDescent="0.25">
      <c r="A15" s="138" t="s">
        <v>17</v>
      </c>
      <c r="B15" s="171" t="s">
        <v>154</v>
      </c>
      <c r="C15" s="172" t="s">
        <v>18</v>
      </c>
      <c r="D15" s="24" t="s">
        <v>4</v>
      </c>
      <c r="E15" s="9">
        <f>SUM(F15:Q15)</f>
        <v>35808905.799999997</v>
      </c>
      <c r="F15" s="10">
        <f>SUM(F16:F20)</f>
        <v>0</v>
      </c>
      <c r="G15" s="10">
        <f t="shared" ref="G15:K15" si="0">SUM(G16:G23)-G21</f>
        <v>1951558.2</v>
      </c>
      <c r="H15" s="10">
        <f t="shared" si="0"/>
        <v>2143978.5</v>
      </c>
      <c r="I15" s="10">
        <f t="shared" si="0"/>
        <v>2063532.1</v>
      </c>
      <c r="J15" s="10">
        <f t="shared" si="0"/>
        <v>2898645.1</v>
      </c>
      <c r="K15" s="10">
        <f t="shared" si="0"/>
        <v>3034771.9</v>
      </c>
      <c r="L15" s="10">
        <f t="shared" ref="L15:Q15" si="1">SUM(L16:L23)-L21</f>
        <v>3970367.0999999987</v>
      </c>
      <c r="M15" s="10">
        <f>SUM(M16:M23)-M21-M19-M22</f>
        <v>5061742.5000000009</v>
      </c>
      <c r="N15" s="10">
        <f>SUM(N16:N23)-N21</f>
        <v>4362503.7</v>
      </c>
      <c r="O15" s="10">
        <f t="shared" si="1"/>
        <v>3934391.9000000004</v>
      </c>
      <c r="P15" s="10">
        <f t="shared" si="1"/>
        <v>3193707.4</v>
      </c>
      <c r="Q15" s="10">
        <f t="shared" si="1"/>
        <v>3193707.4</v>
      </c>
      <c r="X15" s="5">
        <v>17</v>
      </c>
      <c r="Z15" s="5">
        <v>19</v>
      </c>
      <c r="AB15" s="5">
        <v>20</v>
      </c>
      <c r="AD15" s="5">
        <v>21</v>
      </c>
      <c r="AF15" s="5">
        <v>22</v>
      </c>
      <c r="AH15" s="5">
        <v>23</v>
      </c>
      <c r="AJ15" s="5">
        <v>24</v>
      </c>
      <c r="AL15" s="5">
        <v>25</v>
      </c>
      <c r="AQ15" s="13">
        <f>J17+J20+J16</f>
        <v>2894796.5</v>
      </c>
      <c r="AR15" s="13">
        <f>K17+K20+K16</f>
        <v>3030825.5</v>
      </c>
      <c r="AT15" s="5">
        <v>2016</v>
      </c>
      <c r="AU15" s="5">
        <v>2017</v>
      </c>
    </row>
    <row r="16" spans="1:47" ht="24.25" customHeight="1" x14ac:dyDescent="0.25">
      <c r="A16" s="139"/>
      <c r="B16" s="149"/>
      <c r="C16" s="173"/>
      <c r="D16" s="2" t="s">
        <v>19</v>
      </c>
      <c r="E16" s="3">
        <f t="shared" ref="E16:E18" si="2">SUM(F16:Q16)</f>
        <v>3747.2</v>
      </c>
      <c r="F16" s="1">
        <f>F25+F290+F360</f>
        <v>0</v>
      </c>
      <c r="G16" s="1">
        <f t="shared" ref="G16:L16" si="3">G25</f>
        <v>740</v>
      </c>
      <c r="H16" s="1">
        <f>H25</f>
        <v>1419.6</v>
      </c>
      <c r="I16" s="1">
        <f t="shared" si="3"/>
        <v>1587.6</v>
      </c>
      <c r="J16" s="1">
        <f t="shared" si="3"/>
        <v>0</v>
      </c>
      <c r="K16" s="1">
        <f t="shared" si="3"/>
        <v>0</v>
      </c>
      <c r="L16" s="1">
        <f t="shared" si="3"/>
        <v>0</v>
      </c>
      <c r="M16" s="1">
        <f>M25</f>
        <v>0</v>
      </c>
      <c r="N16" s="1">
        <f>N25</f>
        <v>0</v>
      </c>
      <c r="O16" s="1">
        <f>O25</f>
        <v>0</v>
      </c>
      <c r="P16" s="1">
        <f>P25</f>
        <v>0</v>
      </c>
      <c r="Q16" s="1">
        <f>Q25</f>
        <v>0</v>
      </c>
      <c r="V16" s="17">
        <f>J16+J17+J20</f>
        <v>2894796.5</v>
      </c>
      <c r="AC16" s="13"/>
      <c r="AD16" s="13"/>
      <c r="AR16" s="25"/>
      <c r="AT16" s="13">
        <f>H16+H17+H20</f>
        <v>2140580.5</v>
      </c>
      <c r="AU16" s="13">
        <f>I16+I17+I20</f>
        <v>2060056</v>
      </c>
    </row>
    <row r="17" spans="1:43" ht="24.25" customHeight="1" x14ac:dyDescent="0.25">
      <c r="A17" s="139"/>
      <c r="B17" s="149"/>
      <c r="C17" s="173"/>
      <c r="D17" s="2" t="s">
        <v>20</v>
      </c>
      <c r="E17" s="3">
        <f t="shared" si="2"/>
        <v>22514810.699999996</v>
      </c>
      <c r="F17" s="1">
        <f>F26+F291+F361</f>
        <v>0</v>
      </c>
      <c r="G17" s="1">
        <f t="shared" ref="G17:Q17" si="4">G26+G291+G361</f>
        <v>1123706.8</v>
      </c>
      <c r="H17" s="1">
        <f t="shared" si="4"/>
        <v>1235277.7</v>
      </c>
      <c r="I17" s="1">
        <f t="shared" si="4"/>
        <v>1221163.5999999999</v>
      </c>
      <c r="J17" s="1">
        <f t="shared" si="4"/>
        <v>1824613.7</v>
      </c>
      <c r="K17" s="1">
        <f t="shared" si="4"/>
        <v>1654550.9</v>
      </c>
      <c r="L17" s="1">
        <f t="shared" si="4"/>
        <v>2436667.5999999996</v>
      </c>
      <c r="M17" s="1">
        <f>M26+M291+M361</f>
        <v>3620370.5</v>
      </c>
      <c r="N17" s="1">
        <f>N26+N291+N361</f>
        <v>3079371.8</v>
      </c>
      <c r="O17" s="1">
        <f t="shared" si="4"/>
        <v>2539761.6999999997</v>
      </c>
      <c r="P17" s="1">
        <f t="shared" si="4"/>
        <v>1889663.2</v>
      </c>
      <c r="Q17" s="1">
        <f t="shared" si="4"/>
        <v>1889663.2</v>
      </c>
      <c r="X17" s="13">
        <f>I17+I20+I21+I16</f>
        <v>2060056</v>
      </c>
      <c r="Z17" s="17">
        <f>K17+K20+K21+K16</f>
        <v>3030825.5</v>
      </c>
      <c r="AA17" s="18"/>
      <c r="AB17" s="17">
        <f>SUM(L16:L20)</f>
        <v>3966159.5999999987</v>
      </c>
      <c r="AD17" s="17">
        <f>M16+M17+M20</f>
        <v>5057378.9000000004</v>
      </c>
      <c r="AF17" s="17">
        <f>N17+N20</f>
        <v>4357981.4000000004</v>
      </c>
      <c r="AH17" s="17">
        <f>O17+O20</f>
        <v>3929782.7</v>
      </c>
      <c r="AJ17" s="17">
        <f>P17+P20</f>
        <v>3189201.1</v>
      </c>
      <c r="AL17" s="17">
        <f>Q17+Q20</f>
        <v>3189201.1</v>
      </c>
    </row>
    <row r="18" spans="1:43" ht="48.45" hidden="1" customHeight="1" x14ac:dyDescent="0.25">
      <c r="A18" s="139"/>
      <c r="B18" s="149"/>
      <c r="C18" s="173"/>
      <c r="D18" s="2" t="s">
        <v>194</v>
      </c>
      <c r="E18" s="3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X18" s="13"/>
      <c r="Z18" s="17"/>
      <c r="AA18" s="18"/>
      <c r="AB18" s="17"/>
      <c r="AD18" s="17"/>
      <c r="AF18" s="17"/>
      <c r="AH18" s="17"/>
      <c r="AJ18" s="17"/>
      <c r="AL18" s="17"/>
    </row>
    <row r="19" spans="1:43" ht="48.45" customHeight="1" x14ac:dyDescent="0.25">
      <c r="A19" s="139"/>
      <c r="B19" s="149"/>
      <c r="C19" s="173"/>
      <c r="D19" s="2" t="s">
        <v>194</v>
      </c>
      <c r="E19" s="3">
        <f>SUM(F19:Q19)</f>
        <v>302329.59999999998</v>
      </c>
      <c r="F19" s="1"/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f>M28</f>
        <v>302329.59999999998</v>
      </c>
      <c r="N19" s="1">
        <v>0</v>
      </c>
      <c r="O19" s="1">
        <v>0</v>
      </c>
      <c r="P19" s="1">
        <v>0</v>
      </c>
      <c r="Q19" s="1">
        <v>0</v>
      </c>
      <c r="X19" s="13"/>
      <c r="Z19" s="17"/>
      <c r="AA19" s="18"/>
      <c r="AB19" s="17"/>
      <c r="AD19" s="17"/>
      <c r="AF19" s="17"/>
      <c r="AH19" s="17"/>
      <c r="AJ19" s="17"/>
      <c r="AL19" s="17"/>
    </row>
    <row r="20" spans="1:43" ht="23.9" customHeight="1" x14ac:dyDescent="0.25">
      <c r="A20" s="139"/>
      <c r="B20" s="149"/>
      <c r="C20" s="173"/>
      <c r="D20" s="2" t="s">
        <v>21</v>
      </c>
      <c r="E20" s="3">
        <f>SUM(F20:Q20)</f>
        <v>13246306.300000001</v>
      </c>
      <c r="F20" s="1">
        <f t="shared" ref="F20:Q20" si="5">F29+F292+F362</f>
        <v>0</v>
      </c>
      <c r="G20" s="1">
        <f>G29+G292+G362</f>
        <v>824454.09999999986</v>
      </c>
      <c r="H20" s="1">
        <f t="shared" si="5"/>
        <v>903883.2</v>
      </c>
      <c r="I20" s="1">
        <f t="shared" si="5"/>
        <v>837304.79999999993</v>
      </c>
      <c r="J20" s="1">
        <f t="shared" si="5"/>
        <v>1070182.8</v>
      </c>
      <c r="K20" s="1">
        <f t="shared" si="5"/>
        <v>1376274.6000000003</v>
      </c>
      <c r="L20" s="1">
        <f t="shared" si="5"/>
        <v>1529491.9999999993</v>
      </c>
      <c r="M20" s="1">
        <f>M29+M292+M362</f>
        <v>1437008.4000000006</v>
      </c>
      <c r="N20" s="1">
        <f t="shared" si="5"/>
        <v>1278609.6000000001</v>
      </c>
      <c r="O20" s="1">
        <f t="shared" si="5"/>
        <v>1390021.0000000002</v>
      </c>
      <c r="P20" s="1">
        <f t="shared" si="5"/>
        <v>1299537.9000000001</v>
      </c>
      <c r="Q20" s="1">
        <f t="shared" si="5"/>
        <v>1299537.9000000001</v>
      </c>
      <c r="AQ20" s="26"/>
    </row>
    <row r="21" spans="1:43" ht="71.349999999999994" customHeight="1" x14ac:dyDescent="0.25">
      <c r="A21" s="139"/>
      <c r="B21" s="149"/>
      <c r="C21" s="173"/>
      <c r="D21" s="2" t="s">
        <v>22</v>
      </c>
      <c r="E21" s="3">
        <f>SUM(F21:Q21)</f>
        <v>43789.9</v>
      </c>
      <c r="F21" s="1"/>
      <c r="G21" s="1">
        <f>G30+G363</f>
        <v>43789.9</v>
      </c>
      <c r="H21" s="1">
        <f>H30+H363</f>
        <v>0</v>
      </c>
      <c r="I21" s="1">
        <f t="shared" ref="I21:Q21" si="6">I30+I363</f>
        <v>0</v>
      </c>
      <c r="J21" s="1">
        <f t="shared" si="6"/>
        <v>0</v>
      </c>
      <c r="K21" s="1">
        <f t="shared" si="6"/>
        <v>0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0</v>
      </c>
      <c r="P21" s="1">
        <f t="shared" si="6"/>
        <v>0</v>
      </c>
      <c r="Q21" s="1">
        <f t="shared" si="6"/>
        <v>0</v>
      </c>
      <c r="X21" s="13">
        <v>4955.1000000000004</v>
      </c>
      <c r="AA21" s="26"/>
      <c r="AB21" s="26">
        <f>3429892.8+535967+299.7</f>
        <v>3966159.5</v>
      </c>
      <c r="AD21" s="26">
        <f>3893564.6+1094103.5+828.5-4000+8955.9</f>
        <v>4993452.5</v>
      </c>
      <c r="AE21" s="26"/>
      <c r="AF21" s="26">
        <f>3718526.9+692+638762.5</f>
        <v>4357981.4000000004</v>
      </c>
      <c r="AG21" s="26"/>
      <c r="AH21" s="26">
        <f>3929090.7+692</f>
        <v>3929782.7</v>
      </c>
    </row>
    <row r="22" spans="1:43" ht="47.8" customHeight="1" x14ac:dyDescent="0.25">
      <c r="A22" s="139"/>
      <c r="B22" s="149"/>
      <c r="C22" s="173"/>
      <c r="D22" s="2" t="s">
        <v>194</v>
      </c>
      <c r="E22" s="3">
        <f>SUM(F22:Q22)</f>
        <v>19297.599999999999</v>
      </c>
      <c r="F22" s="1"/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f>M31</f>
        <v>19297.599999999999</v>
      </c>
      <c r="N22" s="1">
        <v>0</v>
      </c>
      <c r="O22" s="1">
        <v>0</v>
      </c>
      <c r="P22" s="1">
        <v>0</v>
      </c>
      <c r="Q22" s="1">
        <v>0</v>
      </c>
      <c r="X22" s="13"/>
      <c r="AA22" s="26"/>
      <c r="AB22" s="26"/>
      <c r="AD22" s="26"/>
      <c r="AE22" s="26"/>
      <c r="AF22" s="26"/>
      <c r="AG22" s="26"/>
      <c r="AH22" s="26"/>
    </row>
    <row r="23" spans="1:43" ht="33.4" customHeight="1" x14ac:dyDescent="0.25">
      <c r="A23" s="140"/>
      <c r="B23" s="160"/>
      <c r="C23" s="174"/>
      <c r="D23" s="2" t="s">
        <v>23</v>
      </c>
      <c r="E23" s="8">
        <f t="shared" ref="E23:Q23" si="7">E32+E293+E364</f>
        <v>44041.600000000006</v>
      </c>
      <c r="F23" s="8">
        <f t="shared" si="7"/>
        <v>0</v>
      </c>
      <c r="G23" s="8">
        <f t="shared" si="7"/>
        <v>2657.3</v>
      </c>
      <c r="H23" s="8">
        <f t="shared" si="7"/>
        <v>3398</v>
      </c>
      <c r="I23" s="8">
        <f t="shared" si="7"/>
        <v>3476.1</v>
      </c>
      <c r="J23" s="8">
        <f t="shared" si="7"/>
        <v>3848.6</v>
      </c>
      <c r="K23" s="8">
        <f t="shared" si="7"/>
        <v>3946.4</v>
      </c>
      <c r="L23" s="8">
        <f t="shared" si="7"/>
        <v>4207.5</v>
      </c>
      <c r="M23" s="8">
        <f t="shared" si="7"/>
        <v>4363.6000000000004</v>
      </c>
      <c r="N23" s="8">
        <f t="shared" si="7"/>
        <v>4522.3</v>
      </c>
      <c r="O23" s="8">
        <f t="shared" si="7"/>
        <v>4609.2</v>
      </c>
      <c r="P23" s="8">
        <f t="shared" si="7"/>
        <v>4506.3</v>
      </c>
      <c r="Q23" s="8">
        <f t="shared" si="7"/>
        <v>4506.3</v>
      </c>
      <c r="AB23" s="26">
        <f>AB21-AB17</f>
        <v>-9.9999998696148396E-2</v>
      </c>
    </row>
    <row r="24" spans="1:43" ht="24.05" customHeight="1" x14ac:dyDescent="0.25">
      <c r="A24" s="138" t="s">
        <v>24</v>
      </c>
      <c r="B24" s="171" t="s">
        <v>25</v>
      </c>
      <c r="C24" s="172" t="s">
        <v>18</v>
      </c>
      <c r="D24" s="24" t="s">
        <v>4</v>
      </c>
      <c r="E24" s="9">
        <f>SUM(F24:Q24)</f>
        <v>33973604.600000001</v>
      </c>
      <c r="F24" s="10">
        <f>SUM(F25:F29)</f>
        <v>0</v>
      </c>
      <c r="G24" s="10">
        <f t="shared" ref="G24:Q24" si="8">SUM(G25:G32)-G30</f>
        <v>1818287.8</v>
      </c>
      <c r="H24" s="10">
        <f t="shared" si="8"/>
        <v>2004414.6</v>
      </c>
      <c r="I24" s="10">
        <f t="shared" si="8"/>
        <v>1919884</v>
      </c>
      <c r="J24" s="10">
        <f t="shared" si="8"/>
        <v>2750007.8000000003</v>
      </c>
      <c r="K24" s="10">
        <f>SUM(K25:K32)-K30</f>
        <v>2873059.5000000005</v>
      </c>
      <c r="L24" s="10">
        <f>SUM(L25:L32)-L30</f>
        <v>3800792.0999999992</v>
      </c>
      <c r="M24" s="10">
        <f>SUM(M25:M32)-M30-M28-M31</f>
        <v>4856074.3000000007</v>
      </c>
      <c r="N24" s="10">
        <f>SUM(N25:N32)-N30</f>
        <v>4162834.3999999994</v>
      </c>
      <c r="O24" s="10">
        <f t="shared" si="8"/>
        <v>3741532.5</v>
      </c>
      <c r="P24" s="10">
        <f>SUM(P25:P32)-P30</f>
        <v>3023358.8</v>
      </c>
      <c r="Q24" s="10">
        <f t="shared" si="8"/>
        <v>3023358.8</v>
      </c>
      <c r="X24" s="13">
        <f>X17+X21</f>
        <v>2065011.1</v>
      </c>
      <c r="AD24" s="26">
        <f>AD17-AD21</f>
        <v>63926.400000000373</v>
      </c>
      <c r="AF24" s="26">
        <f>AF17-AF21</f>
        <v>0</v>
      </c>
      <c r="AH24" s="26">
        <f>AH17-AH21</f>
        <v>0</v>
      </c>
    </row>
    <row r="25" spans="1:43" ht="30.45" customHeight="1" x14ac:dyDescent="0.25">
      <c r="A25" s="139"/>
      <c r="B25" s="149"/>
      <c r="C25" s="173"/>
      <c r="D25" s="2" t="s">
        <v>19</v>
      </c>
      <c r="E25" s="3">
        <f t="shared" ref="E25:E29" si="9">SUM(F25:Q25)</f>
        <v>3747.2</v>
      </c>
      <c r="F25" s="1">
        <f>F40+F45+F50+F55+F60+F65+F70+F76+F81+F86+F91+F173</f>
        <v>0</v>
      </c>
      <c r="G25" s="1">
        <f>G40+G45+G50+G55+G60+G65+G70+G76+G81+G86+G91+G173+G191+G196</f>
        <v>740</v>
      </c>
      <c r="H25" s="1">
        <f t="shared" ref="H25:J26" si="10">H34+H147</f>
        <v>1419.6</v>
      </c>
      <c r="I25" s="1">
        <f t="shared" si="10"/>
        <v>1587.6</v>
      </c>
      <c r="J25" s="1">
        <f t="shared" si="10"/>
        <v>0</v>
      </c>
      <c r="K25" s="1">
        <f t="shared" ref="K25:Q25" si="11">K40+K45+K50+K55+K60+K65+K70+K76+K81+K86+K91+K173+K191+K196</f>
        <v>0</v>
      </c>
      <c r="L25" s="1">
        <f t="shared" si="11"/>
        <v>0</v>
      </c>
      <c r="M25" s="1">
        <f t="shared" si="11"/>
        <v>0</v>
      </c>
      <c r="N25" s="1">
        <f>N40+N45+N50+N55+N60+N65+N70+N76+N81+N86+N91+N173+N191+N196</f>
        <v>0</v>
      </c>
      <c r="O25" s="1">
        <f t="shared" si="11"/>
        <v>0</v>
      </c>
      <c r="P25" s="1">
        <f t="shared" si="11"/>
        <v>0</v>
      </c>
      <c r="Q25" s="1">
        <f t="shared" si="11"/>
        <v>0</v>
      </c>
    </row>
    <row r="26" spans="1:43" ht="28.5" customHeight="1" x14ac:dyDescent="0.25">
      <c r="A26" s="139"/>
      <c r="B26" s="149"/>
      <c r="C26" s="173"/>
      <c r="D26" s="2" t="s">
        <v>20</v>
      </c>
      <c r="E26" s="3">
        <f t="shared" si="9"/>
        <v>21705733.099999998</v>
      </c>
      <c r="F26" s="1">
        <f>F41+F46+F51+F56+F61+F66+F71+F77+F82+F87+F92+F174</f>
        <v>0</v>
      </c>
      <c r="G26" s="1">
        <f>G41+G46+G51+G56+G61+G66+G71+G77+G82+G87+G92+G174+G192+G197</f>
        <v>1058723.3</v>
      </c>
      <c r="H26" s="1">
        <f t="shared" si="10"/>
        <v>1169846.3999999999</v>
      </c>
      <c r="I26" s="1">
        <f t="shared" si="10"/>
        <v>1154150.2</v>
      </c>
      <c r="J26" s="1">
        <f t="shared" si="10"/>
        <v>1756126.9</v>
      </c>
      <c r="K26" s="1">
        <f>K35+K148+K262</f>
        <v>1584712.5</v>
      </c>
      <c r="L26" s="1">
        <f>L35+L148+L262+L277</f>
        <v>2369427.7999999998</v>
      </c>
      <c r="M26" s="1">
        <f>M35+M148+M262+M277</f>
        <v>3535437.2</v>
      </c>
      <c r="N26" s="1">
        <f>N35+N148+N262+N277</f>
        <v>2992854.6999999997</v>
      </c>
      <c r="O26" s="1">
        <f>O35+O148+O262</f>
        <v>2459636.2999999998</v>
      </c>
      <c r="P26" s="1">
        <f>P35+P148+P262</f>
        <v>1812408.9</v>
      </c>
      <c r="Q26" s="1">
        <f>Q35+Q148+Q262</f>
        <v>1812408.9</v>
      </c>
    </row>
    <row r="27" spans="1:43" ht="45.85" hidden="1" customHeight="1" x14ac:dyDescent="0.25">
      <c r="A27" s="139"/>
      <c r="B27" s="149"/>
      <c r="C27" s="173"/>
      <c r="D27" s="2" t="s">
        <v>194</v>
      </c>
      <c r="E27" s="3">
        <f t="shared" si="9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43" ht="45.85" customHeight="1" x14ac:dyDescent="0.25">
      <c r="A28" s="139"/>
      <c r="B28" s="149"/>
      <c r="C28" s="173"/>
      <c r="D28" s="2" t="s">
        <v>194</v>
      </c>
      <c r="E28" s="3">
        <f t="shared" si="9"/>
        <v>302329.59999999998</v>
      </c>
      <c r="F28" s="1"/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f>M278</f>
        <v>302329.59999999998</v>
      </c>
      <c r="N28" s="1">
        <v>0</v>
      </c>
      <c r="O28" s="1">
        <v>0</v>
      </c>
      <c r="P28" s="1">
        <v>0</v>
      </c>
      <c r="Q28" s="1">
        <v>0</v>
      </c>
    </row>
    <row r="29" spans="1:43" ht="26.2" customHeight="1" x14ac:dyDescent="0.25">
      <c r="A29" s="139"/>
      <c r="B29" s="149"/>
      <c r="C29" s="173"/>
      <c r="D29" s="2" t="s">
        <v>21</v>
      </c>
      <c r="E29" s="3">
        <f t="shared" si="9"/>
        <v>12220082.699999999</v>
      </c>
      <c r="F29" s="1">
        <f>F42+F47+F52+F57+F62+F67+F72+F78+F83+F88+F93+F175</f>
        <v>0</v>
      </c>
      <c r="G29" s="1">
        <f>G42+G47+G52+G57+G62+G67+G72+G78+G83+G88+G93+G175+G193+G198+G181+G187</f>
        <v>756167.19999999984</v>
      </c>
      <c r="H29" s="1">
        <f>H42+H47+H52+H57+H62+H67+H72+H78+H83+H88+H93+H175+H193+H198+H165+H213</f>
        <v>829750.6</v>
      </c>
      <c r="I29" s="1">
        <f>I42+I47+I52+I57+I62+I67+I72+I78+I83+I88+I93+I175+I193+I198+I165+I213+I208+I203</f>
        <v>760670.09999999986</v>
      </c>
      <c r="J29" s="1">
        <f>J36+J149</f>
        <v>990032.3</v>
      </c>
      <c r="K29" s="1">
        <f>K36+K149+K258</f>
        <v>1284400.6000000003</v>
      </c>
      <c r="L29" s="1">
        <f>L36+L149+L258+L265+L279</f>
        <v>1427156.7999999993</v>
      </c>
      <c r="M29" s="1">
        <f>M36+M149+M258+M265+M279</f>
        <v>1316273.5000000005</v>
      </c>
      <c r="N29" s="1">
        <f>N36+N149+N258+N265+N279</f>
        <v>1165457.4000000001</v>
      </c>
      <c r="O29" s="1">
        <f>O36+O149+O258+O265</f>
        <v>1277287.0000000002</v>
      </c>
      <c r="P29" s="1">
        <f>P36+P149+P258+P265</f>
        <v>1206443.6000000001</v>
      </c>
      <c r="Q29" s="1">
        <f>Q36+Q149+Q258+Q265</f>
        <v>1206443.6000000001</v>
      </c>
    </row>
    <row r="30" spans="1:43" ht="48.45" customHeight="1" x14ac:dyDescent="0.25">
      <c r="A30" s="139"/>
      <c r="B30" s="149"/>
      <c r="C30" s="173"/>
      <c r="D30" s="2" t="s">
        <v>22</v>
      </c>
      <c r="E30" s="3">
        <f>SUM(G30:Q30)</f>
        <v>43751.3</v>
      </c>
      <c r="F30" s="1"/>
      <c r="G30" s="1">
        <f>G73+G176+G188</f>
        <v>43751.3</v>
      </c>
      <c r="H30" s="1">
        <f t="shared" ref="H30:Q30" si="12">H73+H176</f>
        <v>0</v>
      </c>
      <c r="I30" s="1">
        <f t="shared" si="12"/>
        <v>0</v>
      </c>
      <c r="J30" s="1">
        <f t="shared" si="12"/>
        <v>0</v>
      </c>
      <c r="K30" s="1">
        <f t="shared" si="12"/>
        <v>0</v>
      </c>
      <c r="L30" s="1">
        <f t="shared" si="12"/>
        <v>0</v>
      </c>
      <c r="M30" s="1">
        <f t="shared" si="12"/>
        <v>0</v>
      </c>
      <c r="N30" s="1">
        <f>N73+N176</f>
        <v>0</v>
      </c>
      <c r="O30" s="1">
        <f t="shared" si="12"/>
        <v>0</v>
      </c>
      <c r="P30" s="1">
        <f t="shared" si="12"/>
        <v>0</v>
      </c>
      <c r="Q30" s="1">
        <f t="shared" si="12"/>
        <v>0</v>
      </c>
    </row>
    <row r="31" spans="1:43" ht="48.45" customHeight="1" x14ac:dyDescent="0.25">
      <c r="A31" s="139"/>
      <c r="B31" s="149"/>
      <c r="C31" s="173"/>
      <c r="D31" s="2" t="s">
        <v>194</v>
      </c>
      <c r="E31" s="3">
        <f>SUM(F31:Q31)</f>
        <v>19297.599999999999</v>
      </c>
      <c r="F31" s="1"/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f>M280</f>
        <v>19297.599999999999</v>
      </c>
      <c r="N31" s="1">
        <v>0</v>
      </c>
      <c r="O31" s="1">
        <v>0</v>
      </c>
      <c r="P31" s="1">
        <v>0</v>
      </c>
      <c r="Q31" s="1">
        <v>0</v>
      </c>
    </row>
    <row r="32" spans="1:43" ht="27.5" customHeight="1" x14ac:dyDescent="0.25">
      <c r="A32" s="160"/>
      <c r="B32" s="160"/>
      <c r="C32" s="174"/>
      <c r="D32" s="2" t="s">
        <v>23</v>
      </c>
      <c r="E32" s="3">
        <f t="shared" ref="E32:E42" si="13">SUM(F32:Q32)</f>
        <v>44041.600000000006</v>
      </c>
      <c r="F32" s="3">
        <f>F43+F48+F53+F58+F63+F68+F79+F84+F89+F94+F177</f>
        <v>0</v>
      </c>
      <c r="G32" s="3">
        <f t="shared" ref="G32:Q32" si="14">G43+G48+G53+G58+G63+G68+G79+G84+G89+G94+G177+G74</f>
        <v>2657.3</v>
      </c>
      <c r="H32" s="3">
        <f t="shared" si="14"/>
        <v>3398</v>
      </c>
      <c r="I32" s="3">
        <f t="shared" si="14"/>
        <v>3476.1</v>
      </c>
      <c r="J32" s="3">
        <f t="shared" si="14"/>
        <v>3848.6</v>
      </c>
      <c r="K32" s="3">
        <f t="shared" si="14"/>
        <v>3946.4</v>
      </c>
      <c r="L32" s="3">
        <f t="shared" si="14"/>
        <v>4207.5</v>
      </c>
      <c r="M32" s="3">
        <f t="shared" si="14"/>
        <v>4363.6000000000004</v>
      </c>
      <c r="N32" s="3">
        <f t="shared" si="14"/>
        <v>4522.3</v>
      </c>
      <c r="O32" s="3">
        <f t="shared" si="14"/>
        <v>4609.2</v>
      </c>
      <c r="P32" s="3">
        <f t="shared" si="14"/>
        <v>4506.3</v>
      </c>
      <c r="Q32" s="3">
        <f t="shared" si="14"/>
        <v>4506.3</v>
      </c>
    </row>
    <row r="33" spans="1:24" ht="20.149999999999999" customHeight="1" x14ac:dyDescent="0.25">
      <c r="A33" s="141" t="s">
        <v>26</v>
      </c>
      <c r="B33" s="166" t="s">
        <v>27</v>
      </c>
      <c r="C33" s="103"/>
      <c r="D33" s="24" t="s">
        <v>4</v>
      </c>
      <c r="E33" s="9">
        <f t="shared" si="13"/>
        <v>30007715.800000001</v>
      </c>
      <c r="F33" s="9"/>
      <c r="G33" s="9">
        <f>G39+G49+G59+G69+G80+G85+G90</f>
        <v>1703227.2999999998</v>
      </c>
      <c r="H33" s="9">
        <f t="shared" ref="G33:I36" si="15">H39+H49+H59+H69+H80+H85+H90</f>
        <v>1772150.5</v>
      </c>
      <c r="I33" s="9">
        <f t="shared" si="15"/>
        <v>1872604.2</v>
      </c>
      <c r="J33" s="9">
        <f t="shared" ref="J33" si="16">J39+J49+J59+J69+J80+J85+J90+J95</f>
        <v>2185985.7000000002</v>
      </c>
      <c r="K33" s="9">
        <f>K35+K36+K38</f>
        <v>2599799</v>
      </c>
      <c r="L33" s="9">
        <f>L35+L36+L38</f>
        <v>3098939.6999999993</v>
      </c>
      <c r="M33" s="9">
        <f>M35+M36+M38</f>
        <v>3462687.4000000004</v>
      </c>
      <c r="N33" s="9">
        <f t="shared" ref="N33:Q33" si="17">N35+N36+N38</f>
        <v>3524071.8999999994</v>
      </c>
      <c r="O33" s="9">
        <f>O35+O36+O38</f>
        <v>3741532.5</v>
      </c>
      <c r="P33" s="9">
        <f>P35+P36+P38</f>
        <v>3023358.8</v>
      </c>
      <c r="Q33" s="9">
        <f t="shared" si="17"/>
        <v>3023358.8</v>
      </c>
    </row>
    <row r="34" spans="1:24" ht="28.15" customHeight="1" x14ac:dyDescent="0.25">
      <c r="A34" s="149"/>
      <c r="B34" s="167"/>
      <c r="C34" s="103"/>
      <c r="D34" s="2" t="s">
        <v>19</v>
      </c>
      <c r="E34" s="3">
        <f t="shared" si="13"/>
        <v>0</v>
      </c>
      <c r="F34" s="9"/>
      <c r="G34" s="3">
        <f t="shared" si="15"/>
        <v>0</v>
      </c>
      <c r="H34" s="3">
        <f t="shared" si="15"/>
        <v>0</v>
      </c>
      <c r="I34" s="3">
        <f t="shared" si="15"/>
        <v>0</v>
      </c>
      <c r="J34" s="3">
        <f t="shared" ref="J34:Q34" si="18">J40+J50+J60+J70+J81+J86+J91</f>
        <v>0</v>
      </c>
      <c r="K34" s="3">
        <f t="shared" si="18"/>
        <v>0</v>
      </c>
      <c r="L34" s="3">
        <f t="shared" si="18"/>
        <v>0</v>
      </c>
      <c r="M34" s="3">
        <f t="shared" si="18"/>
        <v>0</v>
      </c>
      <c r="N34" s="3">
        <f t="shared" si="18"/>
        <v>0</v>
      </c>
      <c r="O34" s="3">
        <f t="shared" si="18"/>
        <v>0</v>
      </c>
      <c r="P34" s="3">
        <f t="shared" si="18"/>
        <v>0</v>
      </c>
      <c r="Q34" s="3">
        <f t="shared" si="18"/>
        <v>0</v>
      </c>
    </row>
    <row r="35" spans="1:24" ht="26.2" customHeight="1" x14ac:dyDescent="0.25">
      <c r="A35" s="149"/>
      <c r="B35" s="167"/>
      <c r="C35" s="103"/>
      <c r="D35" s="2" t="s">
        <v>20</v>
      </c>
      <c r="E35" s="3">
        <f t="shared" si="13"/>
        <v>18406188.5</v>
      </c>
      <c r="F35" s="9"/>
      <c r="G35" s="3">
        <f>G41+G51+G61+G71+G82+G87+G92</f>
        <v>1044880.5</v>
      </c>
      <c r="H35" s="3">
        <f t="shared" si="15"/>
        <v>1074198.7</v>
      </c>
      <c r="I35" s="3">
        <f t="shared" si="15"/>
        <v>1143676</v>
      </c>
      <c r="J35" s="3">
        <f t="shared" ref="J35:J36" si="19">J41+J51+J61+J71+J82+J87+J92+J97</f>
        <v>1264267.0999999999</v>
      </c>
      <c r="K35" s="3">
        <f>K41+K51+K61+K71+K82+K87+K92+K97+K102</f>
        <v>1422288.2</v>
      </c>
      <c r="L35" s="3">
        <f>L41+L51+L61+L71+L82+L87+L92+L97+L102+L107+L112+L118+L123+L128</f>
        <v>1751542.9</v>
      </c>
      <c r="M35" s="3">
        <f>M41+M51+M61+M71+M82+M87+M92+M97+M102+M107+M112+M118+M123+M128+M138</f>
        <v>2258118.4</v>
      </c>
      <c r="N35" s="3">
        <f>N41+N51+N61+N71+N82+N87+N92+N97+N102+N107+N112+N118+N123+N128+N138</f>
        <v>2362762.5999999996</v>
      </c>
      <c r="O35" s="3">
        <f>O41+O51+O61+O71+O82+O87+O92+O97+O102+O107+O112+O118+O123+O128+O138</f>
        <v>2459636.2999999998</v>
      </c>
      <c r="P35" s="3">
        <f>P41+P51+P61+P71+P82+P87+P92+P97+P102+P107+P112+P118+P123+P128+P138</f>
        <v>1812408.9</v>
      </c>
      <c r="Q35" s="3">
        <f>Q41+Q51+Q61+Q71+Q82+Q87+Q92+Q97+Q102+Q107+Q112+Q118+Q123+Q128+Q138</f>
        <v>1812408.9</v>
      </c>
    </row>
    <row r="36" spans="1:24" ht="22.95" customHeight="1" x14ac:dyDescent="0.25">
      <c r="A36" s="149"/>
      <c r="B36" s="167"/>
      <c r="C36" s="103"/>
      <c r="D36" s="2" t="s">
        <v>21</v>
      </c>
      <c r="E36" s="3">
        <f>SUM(F36:Q36)</f>
        <v>11557485.699999999</v>
      </c>
      <c r="F36" s="9"/>
      <c r="G36" s="3">
        <f>G42+G52+G62+G72+G83+G88+G93</f>
        <v>655689.49999999988</v>
      </c>
      <c r="H36" s="3">
        <f t="shared" si="15"/>
        <v>694553.79999999993</v>
      </c>
      <c r="I36" s="3">
        <f t="shared" si="15"/>
        <v>725452.1</v>
      </c>
      <c r="J36" s="3">
        <f t="shared" si="19"/>
        <v>917870</v>
      </c>
      <c r="K36" s="3">
        <f>K42+K52+K62+K72+K83+K88+K93+K98</f>
        <v>1173564.4000000001</v>
      </c>
      <c r="L36" s="3">
        <f>L42+L52+L62+L72+L83+L88+L93+L98+L103+L108+L113+L119+L124+L129+L134</f>
        <v>1343189.2999999993</v>
      </c>
      <c r="M36" s="3">
        <f>M42+M52+M62+M72+M83+M88+M93+M98+M103+M108+M113+M119+M124+M129+M134+M139+M141</f>
        <v>1200205.4000000004</v>
      </c>
      <c r="N36" s="3">
        <f>N42+N52+N62+N72+N83+N88+N93+N98+N103+N108+N113+N119+N124+N129+N134+N139</f>
        <v>1156787</v>
      </c>
      <c r="O36" s="3">
        <f>O42+O52+O62+O72+O83+O88+O93+O98+O103+O108+O113+O119+O124+O129+O134+O139</f>
        <v>1277287.0000000002</v>
      </c>
      <c r="P36" s="3">
        <f>P42+P52+P62+P72+P83+P88+P93+P98+P103+P108+P113+P119+P124+P129+P134+P139</f>
        <v>1206443.6000000001</v>
      </c>
      <c r="Q36" s="3">
        <f>Q42+Q52+Q62+Q72+Q83+Q88+Q93+Q98+Q103+Q108+Q113+Q119+Q124+Q129+Q134+Q139</f>
        <v>1206443.6000000001</v>
      </c>
    </row>
    <row r="37" spans="1:24" ht="57.6" customHeight="1" x14ac:dyDescent="0.25">
      <c r="A37" s="149"/>
      <c r="B37" s="167"/>
      <c r="C37" s="103"/>
      <c r="D37" s="2" t="s">
        <v>22</v>
      </c>
      <c r="E37" s="3">
        <f t="shared" si="13"/>
        <v>19657.100000000002</v>
      </c>
      <c r="F37" s="9"/>
      <c r="G37" s="3">
        <f t="shared" ref="G37:Q37" si="20">G73</f>
        <v>19657.100000000002</v>
      </c>
      <c r="H37" s="3">
        <f t="shared" si="20"/>
        <v>0</v>
      </c>
      <c r="I37" s="3">
        <f t="shared" si="20"/>
        <v>0</v>
      </c>
      <c r="J37" s="3">
        <f t="shared" si="20"/>
        <v>0</v>
      </c>
      <c r="K37" s="3">
        <f t="shared" si="20"/>
        <v>0</v>
      </c>
      <c r="L37" s="3">
        <f t="shared" si="20"/>
        <v>0</v>
      </c>
      <c r="M37" s="3">
        <f t="shared" si="20"/>
        <v>0</v>
      </c>
      <c r="N37" s="3">
        <f t="shared" si="20"/>
        <v>0</v>
      </c>
      <c r="O37" s="3">
        <f t="shared" si="20"/>
        <v>0</v>
      </c>
      <c r="P37" s="3">
        <f t="shared" si="20"/>
        <v>0</v>
      </c>
      <c r="Q37" s="3">
        <f t="shared" si="20"/>
        <v>0</v>
      </c>
    </row>
    <row r="38" spans="1:24" ht="34.549999999999997" customHeight="1" x14ac:dyDescent="0.25">
      <c r="A38" s="149"/>
      <c r="B38" s="167"/>
      <c r="C38" s="103"/>
      <c r="D38" s="2" t="s">
        <v>23</v>
      </c>
      <c r="E38" s="3">
        <f t="shared" si="13"/>
        <v>44041.600000000006</v>
      </c>
      <c r="F38" s="9"/>
      <c r="G38" s="3">
        <f t="shared" ref="G38:Q38" si="21">G43+G53+G63+G74+G84+G89+G94</f>
        <v>2657.3</v>
      </c>
      <c r="H38" s="3">
        <f t="shared" si="21"/>
        <v>3398</v>
      </c>
      <c r="I38" s="3">
        <f t="shared" si="21"/>
        <v>3476.1</v>
      </c>
      <c r="J38" s="3">
        <f t="shared" si="21"/>
        <v>3848.6</v>
      </c>
      <c r="K38" s="3">
        <f t="shared" si="21"/>
        <v>3946.4</v>
      </c>
      <c r="L38" s="3">
        <f t="shared" si="21"/>
        <v>4207.5</v>
      </c>
      <c r="M38" s="3">
        <f t="shared" si="21"/>
        <v>4363.6000000000004</v>
      </c>
      <c r="N38" s="3">
        <f t="shared" si="21"/>
        <v>4522.3</v>
      </c>
      <c r="O38" s="3">
        <f t="shared" si="21"/>
        <v>4609.2</v>
      </c>
      <c r="P38" s="3">
        <f t="shared" si="21"/>
        <v>4506.3</v>
      </c>
      <c r="Q38" s="3">
        <f t="shared" si="21"/>
        <v>4506.3</v>
      </c>
    </row>
    <row r="39" spans="1:24" ht="20.149999999999999" customHeight="1" x14ac:dyDescent="0.25">
      <c r="A39" s="150" t="s">
        <v>28</v>
      </c>
      <c r="B39" s="163" t="s">
        <v>29</v>
      </c>
      <c r="C39" s="213" t="s">
        <v>30</v>
      </c>
      <c r="D39" s="2" t="s">
        <v>31</v>
      </c>
      <c r="E39" s="3">
        <f t="shared" si="13"/>
        <v>706591.2</v>
      </c>
      <c r="F39" s="1">
        <f>SUM(F40:F42)</f>
        <v>0</v>
      </c>
      <c r="G39" s="1">
        <f t="shared" ref="G39:L39" si="22">SUM(G40:G42)</f>
        <v>348375.8</v>
      </c>
      <c r="H39" s="1">
        <f t="shared" si="22"/>
        <v>358215.4</v>
      </c>
      <c r="I39" s="1">
        <f t="shared" si="22"/>
        <v>0</v>
      </c>
      <c r="J39" s="1">
        <f t="shared" si="22"/>
        <v>0</v>
      </c>
      <c r="K39" s="1">
        <f t="shared" si="22"/>
        <v>0</v>
      </c>
      <c r="L39" s="1">
        <f t="shared" si="22"/>
        <v>0</v>
      </c>
      <c r="M39" s="1">
        <f>SUM(M40:M42)</f>
        <v>0</v>
      </c>
      <c r="N39" s="1">
        <f>SUM(N40:N42)</f>
        <v>0</v>
      </c>
      <c r="O39" s="1">
        <f>SUM(O40:O42)</f>
        <v>0</v>
      </c>
      <c r="P39" s="1">
        <f>SUM(P40:P42)</f>
        <v>0</v>
      </c>
      <c r="Q39" s="1">
        <f>SUM(Q40:Q42)</f>
        <v>0</v>
      </c>
    </row>
    <row r="40" spans="1:24" ht="21.6" customHeight="1" x14ac:dyDescent="0.25">
      <c r="A40" s="151"/>
      <c r="B40" s="176"/>
      <c r="C40" s="193"/>
      <c r="D40" s="2" t="s">
        <v>19</v>
      </c>
      <c r="E40" s="3">
        <f t="shared" si="13"/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X40" s="5">
        <f ca="1">X40</f>
        <v>0</v>
      </c>
    </row>
    <row r="41" spans="1:24" ht="26.85" customHeight="1" x14ac:dyDescent="0.25">
      <c r="A41" s="151"/>
      <c r="B41" s="176"/>
      <c r="C41" s="193"/>
      <c r="D41" s="2" t="s">
        <v>20</v>
      </c>
      <c r="E41" s="3">
        <f t="shared" si="13"/>
        <v>706591.2</v>
      </c>
      <c r="F41" s="1"/>
      <c r="G41" s="1">
        <f>319403.4+27559.1+1413.3</f>
        <v>348375.8</v>
      </c>
      <c r="H41" s="1">
        <f>363190.7-4975.2-0.1</f>
        <v>358215.4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</row>
    <row r="42" spans="1:24" ht="26.85" customHeight="1" x14ac:dyDescent="0.25">
      <c r="A42" s="152"/>
      <c r="B42" s="203"/>
      <c r="C42" s="193"/>
      <c r="D42" s="2" t="s">
        <v>21</v>
      </c>
      <c r="E42" s="3">
        <f t="shared" si="13"/>
        <v>0</v>
      </c>
      <c r="F42" s="3">
        <f>SUM(G42:L42)</f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</row>
    <row r="43" spans="1:24" ht="34.549999999999997" customHeight="1" x14ac:dyDescent="0.25">
      <c r="A43" s="28"/>
      <c r="B43" s="89"/>
      <c r="C43" s="194"/>
      <c r="D43" s="2" t="s">
        <v>23</v>
      </c>
      <c r="E43" s="3">
        <f>SUM(F43:Q48)</f>
        <v>0</v>
      </c>
      <c r="F43" s="1"/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</row>
    <row r="44" spans="1:24" ht="20.3" hidden="1" customHeight="1" x14ac:dyDescent="0.25">
      <c r="A44" s="153" t="s">
        <v>32</v>
      </c>
      <c r="B44" s="167" t="s">
        <v>33</v>
      </c>
      <c r="C44" s="190" t="s">
        <v>34</v>
      </c>
      <c r="D44" s="2" t="s">
        <v>31</v>
      </c>
      <c r="E44" s="3">
        <f>SUM(F44:L44)</f>
        <v>0</v>
      </c>
      <c r="F44" s="1">
        <f t="shared" ref="F44:K44" si="23">F45+F46+F47</f>
        <v>0</v>
      </c>
      <c r="G44" s="1">
        <f t="shared" si="23"/>
        <v>0</v>
      </c>
      <c r="H44" s="1">
        <f t="shared" si="23"/>
        <v>0</v>
      </c>
      <c r="I44" s="1">
        <f t="shared" si="23"/>
        <v>0</v>
      </c>
      <c r="J44" s="1">
        <f t="shared" si="23"/>
        <v>0</v>
      </c>
      <c r="K44" s="1">
        <f t="shared" si="23"/>
        <v>0</v>
      </c>
      <c r="L44" s="1"/>
      <c r="M44" s="1"/>
      <c r="N44" s="1"/>
      <c r="O44" s="1"/>
      <c r="P44" s="1"/>
      <c r="Q44" s="1"/>
    </row>
    <row r="45" spans="1:24" ht="13.75" hidden="1" customHeight="1" x14ac:dyDescent="0.25">
      <c r="A45" s="153"/>
      <c r="B45" s="167"/>
      <c r="C45" s="173"/>
      <c r="D45" s="2" t="s">
        <v>19</v>
      </c>
      <c r="E45" s="3">
        <f>SUM(F45:L45)</f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/>
      <c r="N45" s="1"/>
      <c r="O45" s="1"/>
      <c r="P45" s="1"/>
      <c r="Q45" s="1"/>
    </row>
    <row r="46" spans="1:24" ht="16.55" hidden="1" customHeight="1" x14ac:dyDescent="0.25">
      <c r="A46" s="153"/>
      <c r="B46" s="167"/>
      <c r="C46" s="173"/>
      <c r="D46" s="2" t="s">
        <v>20</v>
      </c>
      <c r="E46" s="3">
        <f>SUM(F46:L46)</f>
        <v>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4" ht="17.2" hidden="1" customHeight="1" x14ac:dyDescent="0.25">
      <c r="A47" s="153"/>
      <c r="B47" s="167"/>
      <c r="C47" s="173"/>
      <c r="D47" s="2" t="s">
        <v>21</v>
      </c>
      <c r="E47" s="3">
        <f>SUM(F47:L47)</f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/>
      <c r="N47" s="1"/>
      <c r="O47" s="1"/>
      <c r="P47" s="1"/>
      <c r="Q47" s="1"/>
    </row>
    <row r="48" spans="1:24" ht="9" hidden="1" customHeight="1" x14ac:dyDescent="0.25">
      <c r="A48" s="154"/>
      <c r="B48" s="167"/>
      <c r="C48" s="174"/>
      <c r="D48" s="2" t="s">
        <v>23</v>
      </c>
      <c r="E48" s="3">
        <f>SUM(F48:L48)</f>
        <v>0</v>
      </c>
      <c r="F48" s="1"/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/>
      <c r="N48" s="1"/>
      <c r="O48" s="1"/>
      <c r="P48" s="1"/>
      <c r="Q48" s="1"/>
    </row>
    <row r="49" spans="1:17" ht="93.6" customHeight="1" x14ac:dyDescent="0.25">
      <c r="A49" s="83" t="s">
        <v>35</v>
      </c>
      <c r="B49" s="91" t="s">
        <v>178</v>
      </c>
      <c r="C49" s="168" t="s">
        <v>30</v>
      </c>
      <c r="D49" s="29" t="s">
        <v>31</v>
      </c>
      <c r="E49" s="3">
        <f>SUM(F49:Q49)</f>
        <v>1166745.7</v>
      </c>
      <c r="F49" s="1">
        <f t="shared" ref="F49:Q49" si="24">SUM(F50:F52)</f>
        <v>0</v>
      </c>
      <c r="G49" s="1">
        <f t="shared" si="24"/>
        <v>67435.5</v>
      </c>
      <c r="H49" s="1">
        <f t="shared" si="24"/>
        <v>75559.100000000006</v>
      </c>
      <c r="I49" s="1">
        <f t="shared" si="24"/>
        <v>75730.399999999994</v>
      </c>
      <c r="J49" s="1">
        <f t="shared" si="24"/>
        <v>98778.2</v>
      </c>
      <c r="K49" s="1">
        <f t="shared" si="24"/>
        <v>97582.8</v>
      </c>
      <c r="L49" s="1">
        <f t="shared" si="24"/>
        <v>92717.3</v>
      </c>
      <c r="M49" s="1">
        <f t="shared" si="24"/>
        <v>134324.20000000001</v>
      </c>
      <c r="N49" s="1">
        <f t="shared" si="24"/>
        <v>134442.70000000001</v>
      </c>
      <c r="O49" s="1">
        <f t="shared" si="24"/>
        <v>134442.70000000001</v>
      </c>
      <c r="P49" s="1">
        <f t="shared" si="24"/>
        <v>127866.4</v>
      </c>
      <c r="Q49" s="1">
        <f t="shared" si="24"/>
        <v>127866.4</v>
      </c>
    </row>
    <row r="50" spans="1:17" ht="21.6" customHeight="1" x14ac:dyDescent="0.25">
      <c r="A50" s="84"/>
      <c r="B50" s="112"/>
      <c r="C50" s="169"/>
      <c r="D50" s="2" t="s">
        <v>19</v>
      </c>
      <c r="E50" s="3">
        <f>SUM(F50:Q50)</f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</row>
    <row r="51" spans="1:17" ht="32.1" customHeight="1" x14ac:dyDescent="0.25">
      <c r="A51" s="84"/>
      <c r="B51" s="112"/>
      <c r="C51" s="169"/>
      <c r="D51" s="2" t="s">
        <v>20</v>
      </c>
      <c r="E51" s="3">
        <f>SUM(F51:Q51)</f>
        <v>1166745.7</v>
      </c>
      <c r="F51" s="1"/>
      <c r="G51" s="1">
        <f>52496.7-0.5+6527.9+8411.4</f>
        <v>67435.5</v>
      </c>
      <c r="H51" s="1">
        <f>54659.8+21235.2-335.9</f>
        <v>75559.100000000006</v>
      </c>
      <c r="I51" s="1">
        <f>75564.9+165.5</f>
        <v>75730.399999999994</v>
      </c>
      <c r="J51" s="1">
        <v>98778.2</v>
      </c>
      <c r="K51" s="1">
        <v>97582.8</v>
      </c>
      <c r="L51" s="1">
        <f>127866.4-15152.9-19996.2</f>
        <v>92717.3</v>
      </c>
      <c r="M51" s="1">
        <v>134324.20000000001</v>
      </c>
      <c r="N51" s="1">
        <v>134442.70000000001</v>
      </c>
      <c r="O51" s="1">
        <v>134442.70000000001</v>
      </c>
      <c r="P51" s="1">
        <v>127866.4</v>
      </c>
      <c r="Q51" s="1">
        <v>127866.4</v>
      </c>
    </row>
    <row r="52" spans="1:17" ht="35.549999999999997" customHeight="1" x14ac:dyDescent="0.25">
      <c r="A52" s="84"/>
      <c r="B52" s="112"/>
      <c r="C52" s="169"/>
      <c r="D52" s="2" t="s">
        <v>21</v>
      </c>
      <c r="E52" s="3">
        <f>SUM(F52:Q52)</f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</row>
    <row r="53" spans="1:17" ht="32.25" customHeight="1" x14ac:dyDescent="0.25">
      <c r="A53" s="78"/>
      <c r="B53" s="115"/>
      <c r="C53" s="170"/>
      <c r="D53" s="2" t="s">
        <v>23</v>
      </c>
      <c r="E53" s="3">
        <f>SUM(F53:Q53)</f>
        <v>0</v>
      </c>
      <c r="F53" s="1"/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</row>
    <row r="54" spans="1:17" ht="18" hidden="1" customHeight="1" x14ac:dyDescent="0.25">
      <c r="A54" s="153" t="s">
        <v>36</v>
      </c>
      <c r="B54" s="149" t="s">
        <v>37</v>
      </c>
      <c r="C54" s="190" t="s">
        <v>30</v>
      </c>
      <c r="D54" s="2" t="s">
        <v>31</v>
      </c>
      <c r="E54" s="3">
        <f>SUM(F54:L54)</f>
        <v>0</v>
      </c>
      <c r="F54" s="1">
        <f>SUM(F55:F57)</f>
        <v>0</v>
      </c>
      <c r="G54" s="1">
        <f t="shared" ref="G54:L54" si="25">SUM(G55:G57)</f>
        <v>0</v>
      </c>
      <c r="H54" s="1">
        <f t="shared" si="25"/>
        <v>0</v>
      </c>
      <c r="I54" s="1">
        <f t="shared" si="25"/>
        <v>0</v>
      </c>
      <c r="J54" s="1">
        <f t="shared" si="25"/>
        <v>0</v>
      </c>
      <c r="K54" s="1">
        <f t="shared" si="25"/>
        <v>0</v>
      </c>
      <c r="L54" s="1">
        <f t="shared" si="25"/>
        <v>0</v>
      </c>
      <c r="M54" s="1"/>
      <c r="N54" s="1"/>
      <c r="O54" s="1"/>
      <c r="P54" s="1"/>
      <c r="Q54" s="1"/>
    </row>
    <row r="55" spans="1:17" ht="18" hidden="1" customHeight="1" x14ac:dyDescent="0.25">
      <c r="A55" s="153"/>
      <c r="B55" s="149"/>
      <c r="C55" s="173"/>
      <c r="D55" s="2" t="s">
        <v>19</v>
      </c>
      <c r="E55" s="3">
        <f>SUM(F55:L55)</f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/>
      <c r="N55" s="1"/>
      <c r="O55" s="1"/>
      <c r="P55" s="1"/>
      <c r="Q55" s="1"/>
    </row>
    <row r="56" spans="1:17" ht="20.3" hidden="1" customHeight="1" x14ac:dyDescent="0.25">
      <c r="A56" s="153"/>
      <c r="B56" s="149"/>
      <c r="C56" s="173"/>
      <c r="D56" s="2" t="s">
        <v>20</v>
      </c>
      <c r="E56" s="3">
        <f>SUM(F56:L56)</f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/>
      <c r="N56" s="1"/>
      <c r="O56" s="1"/>
      <c r="P56" s="1"/>
      <c r="Q56" s="1"/>
    </row>
    <row r="57" spans="1:17" ht="20.95" hidden="1" customHeight="1" x14ac:dyDescent="0.25">
      <c r="A57" s="153"/>
      <c r="B57" s="149"/>
      <c r="C57" s="173"/>
      <c r="D57" s="2" t="s">
        <v>21</v>
      </c>
      <c r="E57" s="3">
        <f>SUM(F57:L57)</f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/>
      <c r="N57" s="1"/>
      <c r="O57" s="1"/>
      <c r="P57" s="1"/>
      <c r="Q57" s="1"/>
    </row>
    <row r="58" spans="1:17" ht="8.6999999999999993" hidden="1" customHeight="1" x14ac:dyDescent="0.25">
      <c r="A58" s="214"/>
      <c r="B58" s="160"/>
      <c r="C58" s="174"/>
      <c r="D58" s="2" t="s">
        <v>23</v>
      </c>
      <c r="E58" s="3">
        <f>SUM(F58:L58)</f>
        <v>0</v>
      </c>
      <c r="F58" s="1"/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/>
      <c r="N58" s="1"/>
      <c r="O58" s="1"/>
      <c r="P58" s="1"/>
      <c r="Q58" s="1"/>
    </row>
    <row r="59" spans="1:17" ht="161.69999999999999" customHeight="1" x14ac:dyDescent="0.25">
      <c r="A59" s="150" t="s">
        <v>38</v>
      </c>
      <c r="B59" s="202" t="s">
        <v>188</v>
      </c>
      <c r="C59" s="190" t="s">
        <v>39</v>
      </c>
      <c r="D59" s="2" t="s">
        <v>31</v>
      </c>
      <c r="E59" s="3">
        <f>SUM(F59:Q59)</f>
        <v>15401052.600000001</v>
      </c>
      <c r="F59" s="1">
        <f>SUM(F60:F62)</f>
        <v>0</v>
      </c>
      <c r="G59" s="1">
        <f t="shared" ref="G59:L59" si="26">SUM(G60:G62)</f>
        <v>629069.20000000007</v>
      </c>
      <c r="H59" s="1">
        <f t="shared" si="26"/>
        <v>640424.19999999995</v>
      </c>
      <c r="I59" s="1">
        <f t="shared" si="26"/>
        <v>1067945.6000000001</v>
      </c>
      <c r="J59" s="1">
        <f t="shared" si="26"/>
        <v>1161461.3999999999</v>
      </c>
      <c r="K59" s="1">
        <f t="shared" si="26"/>
        <v>1303816.1000000001</v>
      </c>
      <c r="L59" s="1">
        <f t="shared" si="26"/>
        <v>1492743.2</v>
      </c>
      <c r="M59" s="1">
        <f>SUM(M60:M62)</f>
        <v>1804332.6</v>
      </c>
      <c r="N59" s="1">
        <f>SUM(N60:N62)</f>
        <v>1910535.7</v>
      </c>
      <c r="O59" s="1">
        <f>SUM(O60:O62)</f>
        <v>2028720</v>
      </c>
      <c r="P59" s="1">
        <f>SUM(P60:P62)</f>
        <v>1681002.3</v>
      </c>
      <c r="Q59" s="1">
        <f>SUM(Q60:Q62)</f>
        <v>1681002.3</v>
      </c>
    </row>
    <row r="60" spans="1:17" ht="24.25" customHeight="1" x14ac:dyDescent="0.25">
      <c r="A60" s="155"/>
      <c r="B60" s="179"/>
      <c r="C60" s="173"/>
      <c r="D60" s="2" t="s">
        <v>19</v>
      </c>
      <c r="E60" s="3">
        <f>SUM(F60:Q60)</f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</row>
    <row r="61" spans="1:17" ht="26.2" customHeight="1" x14ac:dyDescent="0.25">
      <c r="A61" s="155"/>
      <c r="B61" s="179"/>
      <c r="C61" s="173"/>
      <c r="D61" s="2" t="s">
        <v>20</v>
      </c>
      <c r="E61" s="3">
        <f>SUM(F61:Q61)</f>
        <v>15401052.600000001</v>
      </c>
      <c r="F61" s="1"/>
      <c r="G61" s="1">
        <f>626898.1+0.8+2170.3</f>
        <v>629069.20000000007</v>
      </c>
      <c r="H61" s="1">
        <f>630711.7+117.7+9594.8</f>
        <v>640424.19999999995</v>
      </c>
      <c r="I61" s="1">
        <f>639199.4+363190.1+13116.2+39389.1+13050.8</f>
        <v>1067945.6000000001</v>
      </c>
      <c r="J61" s="1">
        <v>1161461.3999999999</v>
      </c>
      <c r="K61" s="1">
        <v>1303816.1000000001</v>
      </c>
      <c r="L61" s="1">
        <f>1482602.7-366.6+10507.1</f>
        <v>1492743.2</v>
      </c>
      <c r="M61" s="1">
        <v>1804332.6</v>
      </c>
      <c r="N61" s="1">
        <v>1910535.7</v>
      </c>
      <c r="O61" s="1">
        <f>1925417+103303</f>
        <v>2028720</v>
      </c>
      <c r="P61" s="1">
        <v>1681002.3</v>
      </c>
      <c r="Q61" s="1">
        <v>1681002.3</v>
      </c>
    </row>
    <row r="62" spans="1:17" ht="22.95" customHeight="1" x14ac:dyDescent="0.25">
      <c r="A62" s="155"/>
      <c r="B62" s="98"/>
      <c r="C62" s="173"/>
      <c r="D62" s="2" t="s">
        <v>21</v>
      </c>
      <c r="E62" s="3">
        <f>SUM(F62:Q62)</f>
        <v>0</v>
      </c>
      <c r="F62" s="1"/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</row>
    <row r="63" spans="1:17" ht="29" customHeight="1" x14ac:dyDescent="0.25">
      <c r="A63" s="160"/>
      <c r="B63" s="99"/>
      <c r="C63" s="174"/>
      <c r="D63" s="2" t="s">
        <v>23</v>
      </c>
      <c r="E63" s="3">
        <f>SUM(F63:Q63)</f>
        <v>0</v>
      </c>
      <c r="F63" s="1"/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</row>
    <row r="64" spans="1:17" ht="19.5" hidden="1" customHeight="1" x14ac:dyDescent="0.25">
      <c r="A64" s="191" t="s">
        <v>40</v>
      </c>
      <c r="B64" s="175" t="s">
        <v>41</v>
      </c>
      <c r="C64" s="190" t="s">
        <v>42</v>
      </c>
      <c r="D64" s="2" t="s">
        <v>31</v>
      </c>
      <c r="E64" s="3">
        <f>SUM(F64:L64)</f>
        <v>0</v>
      </c>
      <c r="F64" s="1">
        <f>SUM(F65:F67)</f>
        <v>0</v>
      </c>
      <c r="G64" s="1">
        <f t="shared" ref="G64:L64" si="27">SUM(G65:G67)</f>
        <v>0</v>
      </c>
      <c r="H64" s="1">
        <f t="shared" si="27"/>
        <v>0</v>
      </c>
      <c r="I64" s="1">
        <f t="shared" si="27"/>
        <v>0</v>
      </c>
      <c r="J64" s="1">
        <f t="shared" si="27"/>
        <v>0</v>
      </c>
      <c r="K64" s="1">
        <f t="shared" si="27"/>
        <v>0</v>
      </c>
      <c r="L64" s="1">
        <f t="shared" si="27"/>
        <v>0</v>
      </c>
      <c r="M64" s="1">
        <f>SUM(M65:M67)</f>
        <v>0</v>
      </c>
      <c r="N64" s="1"/>
      <c r="O64" s="1"/>
      <c r="P64" s="1"/>
      <c r="Q64" s="1"/>
    </row>
    <row r="65" spans="1:17" ht="18" hidden="1" customHeight="1" x14ac:dyDescent="0.25">
      <c r="A65" s="153"/>
      <c r="B65" s="149"/>
      <c r="C65" s="173"/>
      <c r="D65" s="2" t="s">
        <v>19</v>
      </c>
      <c r="E65" s="3">
        <f>SUM(F65:L65)</f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/>
      <c r="O65" s="1"/>
      <c r="P65" s="1"/>
      <c r="Q65" s="1"/>
    </row>
    <row r="66" spans="1:17" ht="20.3" hidden="1" customHeight="1" x14ac:dyDescent="0.25">
      <c r="A66" s="153"/>
      <c r="B66" s="149"/>
      <c r="C66" s="173"/>
      <c r="D66" s="2" t="s">
        <v>20</v>
      </c>
      <c r="E66" s="3">
        <f>SUM(F66:L66)</f>
        <v>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5.75" hidden="1" customHeight="1" x14ac:dyDescent="0.25">
      <c r="A67" s="154"/>
      <c r="B67" s="149"/>
      <c r="C67" s="173"/>
      <c r="D67" s="2" t="s">
        <v>21</v>
      </c>
      <c r="E67" s="3">
        <f>SUM(F67:L67)</f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/>
      <c r="O67" s="1"/>
      <c r="P67" s="1"/>
      <c r="Q67" s="1"/>
    </row>
    <row r="68" spans="1:17" ht="1" hidden="1" customHeight="1" x14ac:dyDescent="0.25">
      <c r="A68" s="214"/>
      <c r="B68" s="160"/>
      <c r="C68" s="174"/>
      <c r="D68" s="2" t="s">
        <v>23</v>
      </c>
      <c r="E68" s="3">
        <f>SUM(F68:L68)</f>
        <v>0</v>
      </c>
      <c r="F68" s="1"/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/>
      <c r="O68" s="1"/>
      <c r="P68" s="1"/>
      <c r="Q68" s="1"/>
    </row>
    <row r="69" spans="1:17" ht="33.75" customHeight="1" x14ac:dyDescent="0.25">
      <c r="A69" s="150" t="s">
        <v>43</v>
      </c>
      <c r="B69" s="175" t="s">
        <v>44</v>
      </c>
      <c r="C69" s="190" t="s">
        <v>18</v>
      </c>
      <c r="D69" s="2" t="s">
        <v>31</v>
      </c>
      <c r="E69" s="3">
        <f>SUM(F69:Q69)</f>
        <v>11251256.200000001</v>
      </c>
      <c r="F69" s="1">
        <f>SUM(F70:F72)</f>
        <v>0</v>
      </c>
      <c r="G69" s="1">
        <f t="shared" ref="G69:L69" si="28">SUM(G70:G72)+G74</f>
        <v>658346.79999999993</v>
      </c>
      <c r="H69" s="1">
        <f>SUM(H70:H72)+H74</f>
        <v>680111.29999999993</v>
      </c>
      <c r="I69" s="1">
        <f>SUM(I70:I72)+I74</f>
        <v>710438.2</v>
      </c>
      <c r="J69" s="1">
        <f t="shared" si="28"/>
        <v>907206.9</v>
      </c>
      <c r="K69" s="1">
        <f>SUM(K70:K72)+K74</f>
        <v>1162512.7</v>
      </c>
      <c r="L69" s="1">
        <f t="shared" si="28"/>
        <v>1307859.1999999997</v>
      </c>
      <c r="M69" s="1">
        <f>SUM(M70:M72)+M74</f>
        <v>1093719.8000000003</v>
      </c>
      <c r="N69" s="1">
        <f>SUM(N70:N72)+N74</f>
        <v>1118287.2999999998</v>
      </c>
      <c r="O69" s="1">
        <f>SUM(O70:O72)+O74</f>
        <v>1240369.4000000001</v>
      </c>
      <c r="P69" s="1">
        <f>SUM(P70:P72)+P74</f>
        <v>1186202.3</v>
      </c>
      <c r="Q69" s="1">
        <f>SUM(Q70:Q72)+Q74</f>
        <v>1186202.3</v>
      </c>
    </row>
    <row r="70" spans="1:17" ht="21.6" customHeight="1" x14ac:dyDescent="0.25">
      <c r="A70" s="155"/>
      <c r="B70" s="176"/>
      <c r="C70" s="173"/>
      <c r="D70" s="2" t="s">
        <v>19</v>
      </c>
      <c r="E70" s="3">
        <f>SUM(F70:Q70)</f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</row>
    <row r="71" spans="1:17" ht="27.65" customHeight="1" x14ac:dyDescent="0.25">
      <c r="A71" s="155"/>
      <c r="B71" s="176"/>
      <c r="C71" s="173"/>
      <c r="D71" s="2" t="s">
        <v>20</v>
      </c>
      <c r="E71" s="3">
        <f>SUM(F71:Q71)</f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17" ht="22.95" customHeight="1" x14ac:dyDescent="0.25">
      <c r="A72" s="155"/>
      <c r="B72" s="176"/>
      <c r="C72" s="173"/>
      <c r="D72" s="2" t="s">
        <v>21</v>
      </c>
      <c r="E72" s="3">
        <f>SUM(F72:Q72)</f>
        <v>11207214.6</v>
      </c>
      <c r="F72" s="1"/>
      <c r="G72" s="1">
        <f>291918.7+377290.5+797.7+142+10488.7+444.8-389.8+19.4+303.7-15860.2-9466</f>
        <v>655689.49999999988</v>
      </c>
      <c r="H72" s="1">
        <f>692209.2-75.6-1317-14103.3</f>
        <v>676713.29999999993</v>
      </c>
      <c r="I72" s="1">
        <f>352085.7+231714+148517.6-1000-215-271.1-120.1-541.7+1976.1-569.6-704.8+980-957.6-25213.8+2789.4-1507</f>
        <v>706962.1</v>
      </c>
      <c r="J72" s="1">
        <v>903358.3</v>
      </c>
      <c r="K72" s="1">
        <v>1158566.3</v>
      </c>
      <c r="L72" s="1">
        <f>1202225.7-875.5+19128.4+30000+2500-2127.4+4448.1-201.1-22767+6419.4-891.9-600+28959.7+2161.7-7824.5+41619.9+1476.2</f>
        <v>1303651.6999999997</v>
      </c>
      <c r="M72" s="1">
        <f>571143+280122.1+234920.3-17817.2-29727.4-9000+457.7-25.2-0.1+136.5+700+966.3-12176.6+8808.2-350.9+66.2+8206+28545.2+31032.2+4435+0.6-3000-200-120-7.7-3-2929.5-2927.4-1796.9-101.2</f>
        <v>1089356.2000000002</v>
      </c>
      <c r="N72" s="1">
        <f>603542.1+270255.6+241309.7-1800+457.7-0.1</f>
        <v>1113764.9999999998</v>
      </c>
      <c r="O72" s="1">
        <f>241937.7+348945.6+644724-523.4+676.3</f>
        <v>1235760.2000000002</v>
      </c>
      <c r="P72" s="1">
        <v>1181696</v>
      </c>
      <c r="Q72" s="1">
        <v>1181696</v>
      </c>
    </row>
    <row r="73" spans="1:17" ht="76.599999999999994" customHeight="1" x14ac:dyDescent="0.25">
      <c r="A73" s="155"/>
      <c r="B73" s="111"/>
      <c r="C73" s="169"/>
      <c r="D73" s="2" t="s">
        <v>22</v>
      </c>
      <c r="E73" s="3">
        <f>SUM(G73:Q73)</f>
        <v>19657.100000000002</v>
      </c>
      <c r="F73" s="1"/>
      <c r="G73" s="1">
        <f>985.4+1083.7-37.3+35+361.7+10488.7+770+4731.2+56.7+29.6+657.3+378.4+116.7</f>
        <v>19657.100000000002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ht="38.299999999999997" customHeight="1" x14ac:dyDescent="0.25">
      <c r="A74" s="28"/>
      <c r="B74" s="115"/>
      <c r="C74" s="170"/>
      <c r="D74" s="2" t="s">
        <v>23</v>
      </c>
      <c r="E74" s="3">
        <f>SUM(F74:Q74)</f>
        <v>44041.600000000006</v>
      </c>
      <c r="F74" s="1"/>
      <c r="G74" s="1">
        <f>2475.4+181.9</f>
        <v>2657.3</v>
      </c>
      <c r="H74" s="1">
        <v>3398</v>
      </c>
      <c r="I74" s="1">
        <v>3476.1</v>
      </c>
      <c r="J74" s="1">
        <v>3848.6</v>
      </c>
      <c r="K74" s="1">
        <v>3946.4</v>
      </c>
      <c r="L74" s="1">
        <v>4207.5</v>
      </c>
      <c r="M74" s="1">
        <v>4363.6000000000004</v>
      </c>
      <c r="N74" s="1">
        <v>4522.3</v>
      </c>
      <c r="O74" s="1">
        <v>4609.2</v>
      </c>
      <c r="P74" s="1">
        <v>4506.3</v>
      </c>
      <c r="Q74" s="1">
        <v>4506.3</v>
      </c>
    </row>
    <row r="75" spans="1:17" ht="20.95" hidden="1" customHeight="1" x14ac:dyDescent="0.25">
      <c r="A75" s="153" t="s">
        <v>45</v>
      </c>
      <c r="B75" s="167" t="s">
        <v>46</v>
      </c>
      <c r="C75" s="30"/>
      <c r="D75" s="2" t="s">
        <v>4</v>
      </c>
      <c r="E75" s="3">
        <f>SUM(F75:L75)</f>
        <v>0</v>
      </c>
      <c r="F75" s="1">
        <f t="shared" ref="F75:L75" si="29">SUM(F76:F78)</f>
        <v>0</v>
      </c>
      <c r="G75" s="1">
        <f t="shared" si="29"/>
        <v>0</v>
      </c>
      <c r="H75" s="1">
        <f t="shared" si="29"/>
        <v>0</v>
      </c>
      <c r="I75" s="1">
        <f t="shared" si="29"/>
        <v>0</v>
      </c>
      <c r="J75" s="1">
        <f t="shared" si="29"/>
        <v>0</v>
      </c>
      <c r="K75" s="1">
        <f t="shared" si="29"/>
        <v>0</v>
      </c>
      <c r="L75" s="1">
        <f t="shared" si="29"/>
        <v>0</v>
      </c>
      <c r="M75" s="1">
        <f>SUM(M76:M78)</f>
        <v>0</v>
      </c>
      <c r="N75" s="1"/>
      <c r="O75" s="1"/>
      <c r="P75" s="1"/>
      <c r="Q75" s="1"/>
    </row>
    <row r="76" spans="1:17" ht="15.75" hidden="1" customHeight="1" x14ac:dyDescent="0.25">
      <c r="A76" s="153"/>
      <c r="B76" s="167"/>
      <c r="C76" s="31"/>
      <c r="D76" s="2" t="s">
        <v>47</v>
      </c>
      <c r="E76" s="3">
        <f>SUM(F76:L76)</f>
        <v>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5.75" hidden="1" customHeight="1" x14ac:dyDescent="0.25">
      <c r="A77" s="153"/>
      <c r="B77" s="167"/>
      <c r="C77" s="31"/>
      <c r="D77" s="2" t="s">
        <v>48</v>
      </c>
      <c r="E77" s="3">
        <f>SUM(F77:L77)</f>
        <v>0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28" hidden="1" customHeight="1" x14ac:dyDescent="0.25">
      <c r="A78" s="211"/>
      <c r="B78" s="212"/>
      <c r="C78" s="32"/>
      <c r="D78" s="2" t="s">
        <v>49</v>
      </c>
      <c r="E78" s="3">
        <f>SUM(F78:L78)</f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/>
      <c r="O78" s="1"/>
      <c r="P78" s="1"/>
      <c r="Q78" s="1"/>
    </row>
    <row r="79" spans="1:17" ht="33.049999999999997" hidden="1" customHeight="1" x14ac:dyDescent="0.25">
      <c r="A79" s="85"/>
      <c r="B79" s="94"/>
      <c r="C79" s="31"/>
      <c r="D79" s="2" t="s">
        <v>50</v>
      </c>
      <c r="E79" s="3">
        <f>SUM(F79:L79)</f>
        <v>0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30.8" customHeight="1" x14ac:dyDescent="0.25">
      <c r="A80" s="83" t="s">
        <v>51</v>
      </c>
      <c r="B80" s="163" t="s">
        <v>52</v>
      </c>
      <c r="C80" s="168" t="s">
        <v>18</v>
      </c>
      <c r="D80" s="2" t="s">
        <v>31</v>
      </c>
      <c r="E80" s="3">
        <f t="shared" ref="E80:E91" si="30">SUM(F80:Q80)</f>
        <v>120474.6</v>
      </c>
      <c r="F80" s="1">
        <f t="shared" ref="F80:L80" si="31">SUM(F81:F83)</f>
        <v>0</v>
      </c>
      <c r="G80" s="1">
        <f t="shared" si="31"/>
        <v>0</v>
      </c>
      <c r="H80" s="1">
        <f t="shared" si="31"/>
        <v>9622.1</v>
      </c>
      <c r="I80" s="1">
        <f t="shared" si="31"/>
        <v>9742.5999999999985</v>
      </c>
      <c r="J80" s="1">
        <f t="shared" si="31"/>
        <v>10065.700000000001</v>
      </c>
      <c r="K80" s="1">
        <f t="shared" si="31"/>
        <v>11563</v>
      </c>
      <c r="L80" s="1">
        <f t="shared" si="31"/>
        <v>13444.699999999999</v>
      </c>
      <c r="M80" s="1">
        <f>SUM(M81:M83)</f>
        <v>13207.3</v>
      </c>
      <c r="N80" s="1">
        <f>SUM(N81:N83)</f>
        <v>13207.3</v>
      </c>
      <c r="O80" s="1">
        <f>SUM(O81:O83)</f>
        <v>13207.3</v>
      </c>
      <c r="P80" s="1">
        <f>SUM(P81:P83)</f>
        <v>13207.3</v>
      </c>
      <c r="Q80" s="1">
        <f>SUM(Q81:Q83)</f>
        <v>13207.3</v>
      </c>
    </row>
    <row r="81" spans="1:17" ht="30.8" customHeight="1" x14ac:dyDescent="0.25">
      <c r="A81" s="84"/>
      <c r="B81" s="176"/>
      <c r="C81" s="169"/>
      <c r="D81" s="2" t="s">
        <v>19</v>
      </c>
      <c r="E81" s="3">
        <f t="shared" si="30"/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ht="28.8" customHeight="1" x14ac:dyDescent="0.25">
      <c r="A82" s="136"/>
      <c r="B82" s="176"/>
      <c r="C82" s="169"/>
      <c r="D82" s="2" t="s">
        <v>20</v>
      </c>
      <c r="E82" s="3">
        <f t="shared" si="30"/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</row>
    <row r="83" spans="1:17" ht="24.05" customHeight="1" x14ac:dyDescent="0.25">
      <c r="A83" s="136"/>
      <c r="B83" s="82"/>
      <c r="C83" s="169"/>
      <c r="D83" s="2" t="s">
        <v>21</v>
      </c>
      <c r="E83" s="3">
        <f t="shared" si="30"/>
        <v>120474.6</v>
      </c>
      <c r="F83" s="1">
        <v>0</v>
      </c>
      <c r="G83" s="1">
        <v>0</v>
      </c>
      <c r="H83" s="1">
        <f>4888.3+3416.8+1317</f>
        <v>9622.1</v>
      </c>
      <c r="I83" s="1">
        <f>9960.3-382.7+165</f>
        <v>9742.5999999999985</v>
      </c>
      <c r="J83" s="1">
        <v>10065.700000000001</v>
      </c>
      <c r="K83" s="1">
        <v>11563</v>
      </c>
      <c r="L83" s="1">
        <f>13207.3-900+1137.4</f>
        <v>13444.699999999999</v>
      </c>
      <c r="M83" s="1">
        <f>9245.1+3962.2</f>
        <v>13207.3</v>
      </c>
      <c r="N83" s="1">
        <v>13207.3</v>
      </c>
      <c r="O83" s="1">
        <v>13207.3</v>
      </c>
      <c r="P83" s="1">
        <v>13207.3</v>
      </c>
      <c r="Q83" s="1">
        <v>13207.3</v>
      </c>
    </row>
    <row r="84" spans="1:17" ht="34.200000000000003" customHeight="1" x14ac:dyDescent="0.25">
      <c r="A84" s="137"/>
      <c r="B84" s="89"/>
      <c r="C84" s="170"/>
      <c r="D84" s="2" t="s">
        <v>23</v>
      </c>
      <c r="E84" s="3">
        <f t="shared" si="30"/>
        <v>0</v>
      </c>
      <c r="F84" s="1"/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/>
      <c r="O84" s="1"/>
      <c r="P84" s="1"/>
      <c r="Q84" s="1"/>
    </row>
    <row r="85" spans="1:17" ht="20.149999999999999" customHeight="1" x14ac:dyDescent="0.25">
      <c r="A85" s="114" t="s">
        <v>53</v>
      </c>
      <c r="B85" s="199" t="s">
        <v>54</v>
      </c>
      <c r="C85" s="168" t="s">
        <v>18</v>
      </c>
      <c r="D85" s="2" t="s">
        <v>31</v>
      </c>
      <c r="E85" s="3">
        <f t="shared" si="30"/>
        <v>4857</v>
      </c>
      <c r="F85" s="1">
        <f t="shared" ref="F85:L85" si="32">SUM(F86:F88)</f>
        <v>0</v>
      </c>
      <c r="G85" s="1">
        <f t="shared" si="32"/>
        <v>0</v>
      </c>
      <c r="H85" s="1">
        <f t="shared" si="32"/>
        <v>480</v>
      </c>
      <c r="I85" s="1">
        <f t="shared" si="32"/>
        <v>480</v>
      </c>
      <c r="J85" s="1">
        <f t="shared" si="32"/>
        <v>480</v>
      </c>
      <c r="K85" s="1">
        <f t="shared" si="32"/>
        <v>480</v>
      </c>
      <c r="L85" s="1">
        <f t="shared" si="32"/>
        <v>480</v>
      </c>
      <c r="M85" s="1">
        <f>SUM(M86:M88)</f>
        <v>499</v>
      </c>
      <c r="N85" s="1">
        <f>SUM(N86:N88)</f>
        <v>499</v>
      </c>
      <c r="O85" s="1">
        <f>SUM(O86:O88)</f>
        <v>499</v>
      </c>
      <c r="P85" s="1">
        <f>SUM(P86:P88)</f>
        <v>480</v>
      </c>
      <c r="Q85" s="1">
        <f>SUM(Q86:Q88)</f>
        <v>480</v>
      </c>
    </row>
    <row r="86" spans="1:17" ht="30.3" customHeight="1" x14ac:dyDescent="0.25">
      <c r="A86" s="88"/>
      <c r="B86" s="185"/>
      <c r="C86" s="169"/>
      <c r="D86" s="2" t="s">
        <v>19</v>
      </c>
      <c r="E86" s="3">
        <f t="shared" si="30"/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ht="30.8" customHeight="1" x14ac:dyDescent="0.25">
      <c r="A87" s="88"/>
      <c r="B87" s="185"/>
      <c r="C87" s="169"/>
      <c r="D87" s="2" t="s">
        <v>20</v>
      </c>
      <c r="E87" s="3">
        <f t="shared" si="30"/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</row>
    <row r="88" spans="1:17" ht="30.8" customHeight="1" x14ac:dyDescent="0.25">
      <c r="A88" s="88"/>
      <c r="B88" s="185"/>
      <c r="C88" s="169"/>
      <c r="D88" s="2" t="s">
        <v>21</v>
      </c>
      <c r="E88" s="3">
        <f t="shared" si="30"/>
        <v>4857</v>
      </c>
      <c r="F88" s="1"/>
      <c r="G88" s="1">
        <v>0</v>
      </c>
      <c r="H88" s="1">
        <v>480</v>
      </c>
      <c r="I88" s="1">
        <v>480</v>
      </c>
      <c r="J88" s="1">
        <v>480</v>
      </c>
      <c r="K88" s="1">
        <v>480</v>
      </c>
      <c r="L88" s="1">
        <v>480</v>
      </c>
      <c r="M88" s="1">
        <v>499</v>
      </c>
      <c r="N88" s="1">
        <v>499</v>
      </c>
      <c r="O88" s="1">
        <v>499</v>
      </c>
      <c r="P88" s="1">
        <v>480</v>
      </c>
      <c r="Q88" s="1">
        <v>480</v>
      </c>
    </row>
    <row r="89" spans="1:17" ht="42.55" customHeight="1" x14ac:dyDescent="0.25">
      <c r="A89" s="115"/>
      <c r="B89" s="186"/>
      <c r="C89" s="170"/>
      <c r="D89" s="2" t="s">
        <v>23</v>
      </c>
      <c r="E89" s="3">
        <f t="shared" si="30"/>
        <v>0</v>
      </c>
      <c r="F89" s="1"/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ht="24.75" customHeight="1" x14ac:dyDescent="0.25">
      <c r="A90" s="114" t="s">
        <v>55</v>
      </c>
      <c r="B90" s="200" t="s">
        <v>56</v>
      </c>
      <c r="C90" s="168" t="s">
        <v>18</v>
      </c>
      <c r="D90" s="2" t="s">
        <v>31</v>
      </c>
      <c r="E90" s="3">
        <f t="shared" si="30"/>
        <v>73266.399999999994</v>
      </c>
      <c r="F90" s="1">
        <f t="shared" ref="F90:L90" si="33">SUM(F91:F93)</f>
        <v>0</v>
      </c>
      <c r="G90" s="1">
        <f t="shared" si="33"/>
        <v>0</v>
      </c>
      <c r="H90" s="1">
        <f t="shared" si="33"/>
        <v>7738.4</v>
      </c>
      <c r="I90" s="1">
        <f t="shared" si="33"/>
        <v>8267.4</v>
      </c>
      <c r="J90" s="1">
        <f t="shared" si="33"/>
        <v>3721.1</v>
      </c>
      <c r="K90" s="1">
        <f t="shared" si="33"/>
        <v>2584.3000000000002</v>
      </c>
      <c r="L90" s="1">
        <f t="shared" si="33"/>
        <v>2415.8999999999996</v>
      </c>
      <c r="M90" s="1">
        <f>SUM(M91:M93)</f>
        <v>7229.3</v>
      </c>
      <c r="N90" s="1">
        <f>SUM(N91:N93)</f>
        <v>10327.5</v>
      </c>
      <c r="O90" s="1">
        <f>SUM(O91:O93)</f>
        <v>10327.5</v>
      </c>
      <c r="P90" s="1">
        <f>SUM(P91:P93)</f>
        <v>10327.5</v>
      </c>
      <c r="Q90" s="1">
        <f>SUM(Q91:Q93)</f>
        <v>10327.5</v>
      </c>
    </row>
    <row r="91" spans="1:17" ht="33.4" customHeight="1" x14ac:dyDescent="0.25">
      <c r="A91" s="88"/>
      <c r="B91" s="201"/>
      <c r="C91" s="169"/>
      <c r="D91" s="2" t="s">
        <v>19</v>
      </c>
      <c r="E91" s="3">
        <f t="shared" si="30"/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ht="26.85" customHeight="1" x14ac:dyDescent="0.25">
      <c r="A92" s="88"/>
      <c r="B92" s="201"/>
      <c r="C92" s="169"/>
      <c r="D92" s="2" t="s">
        <v>20</v>
      </c>
      <c r="E92" s="3">
        <f t="shared" ref="E92:E99" si="34">SUM(F92:Q92)</f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</row>
    <row r="93" spans="1:17" ht="38.65" customHeight="1" x14ac:dyDescent="0.25">
      <c r="A93" s="88"/>
      <c r="B93" s="113"/>
      <c r="C93" s="169"/>
      <c r="D93" s="2" t="s">
        <v>21</v>
      </c>
      <c r="E93" s="3">
        <f t="shared" si="34"/>
        <v>73266.399999999994</v>
      </c>
      <c r="F93" s="1"/>
      <c r="G93" s="1">
        <v>0</v>
      </c>
      <c r="H93" s="1">
        <f>8495.3-756.9</f>
        <v>7738.4</v>
      </c>
      <c r="I93" s="1">
        <f>8495.3-227.9</f>
        <v>8267.4</v>
      </c>
      <c r="J93" s="1">
        <v>3721.1</v>
      </c>
      <c r="K93" s="1">
        <v>2584.3000000000002</v>
      </c>
      <c r="L93" s="1">
        <f>10327.5-3068.3-3284-1400-159.3</f>
        <v>2415.8999999999996</v>
      </c>
      <c r="M93" s="1">
        <v>7229.3</v>
      </c>
      <c r="N93" s="1">
        <v>10327.5</v>
      </c>
      <c r="O93" s="1">
        <v>10327.5</v>
      </c>
      <c r="P93" s="1">
        <v>10327.5</v>
      </c>
      <c r="Q93" s="1">
        <v>10327.5</v>
      </c>
    </row>
    <row r="94" spans="1:17" ht="35.549999999999997" customHeight="1" x14ac:dyDescent="0.25">
      <c r="A94" s="88"/>
      <c r="B94" s="113"/>
      <c r="C94" s="170"/>
      <c r="D94" s="2" t="s">
        <v>23</v>
      </c>
      <c r="E94" s="3">
        <f t="shared" si="34"/>
        <v>0</v>
      </c>
      <c r="F94" s="1"/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ht="24.05" customHeight="1" x14ac:dyDescent="0.25">
      <c r="A95" s="83" t="s">
        <v>57</v>
      </c>
      <c r="B95" s="192" t="s">
        <v>179</v>
      </c>
      <c r="C95" s="51"/>
      <c r="D95" s="2" t="s">
        <v>31</v>
      </c>
      <c r="E95" s="3">
        <f t="shared" si="34"/>
        <v>30279.800000000003</v>
      </c>
      <c r="F95" s="1"/>
      <c r="G95" s="1">
        <v>0</v>
      </c>
      <c r="H95" s="1">
        <v>0</v>
      </c>
      <c r="I95" s="1">
        <v>0</v>
      </c>
      <c r="J95" s="1">
        <f t="shared" ref="J95:Q95" si="35">SUM(J96:J98)</f>
        <v>4272.3999999999996</v>
      </c>
      <c r="K95" s="1">
        <f t="shared" si="35"/>
        <v>3460.7000000000003</v>
      </c>
      <c r="L95" s="1">
        <f t="shared" si="35"/>
        <v>3888.7999999999997</v>
      </c>
      <c r="M95" s="1">
        <f t="shared" si="35"/>
        <v>4585</v>
      </c>
      <c r="N95" s="1">
        <f t="shared" si="35"/>
        <v>4585</v>
      </c>
      <c r="O95" s="1">
        <f t="shared" si="35"/>
        <v>941.9</v>
      </c>
      <c r="P95" s="1">
        <f t="shared" si="35"/>
        <v>4273</v>
      </c>
      <c r="Q95" s="1">
        <f t="shared" si="35"/>
        <v>4273</v>
      </c>
    </row>
    <row r="96" spans="1:17" ht="20.3" customHeight="1" x14ac:dyDescent="0.25">
      <c r="A96" s="84"/>
      <c r="B96" s="179"/>
      <c r="C96" s="95"/>
      <c r="D96" s="2" t="s">
        <v>19</v>
      </c>
      <c r="E96" s="3">
        <f t="shared" si="34"/>
        <v>0</v>
      </c>
      <c r="F96" s="1"/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ht="34.049999999999997" customHeight="1" x14ac:dyDescent="0.25">
      <c r="A97" s="84"/>
      <c r="B97" s="179"/>
      <c r="C97" s="95"/>
      <c r="D97" s="2" t="s">
        <v>20</v>
      </c>
      <c r="E97" s="3">
        <f t="shared" si="34"/>
        <v>27242.9</v>
      </c>
      <c r="F97" s="1"/>
      <c r="G97" s="1">
        <v>0</v>
      </c>
      <c r="H97" s="1">
        <v>0</v>
      </c>
      <c r="I97" s="1">
        <v>0</v>
      </c>
      <c r="J97" s="1">
        <v>4027.5</v>
      </c>
      <c r="K97" s="1">
        <v>3089.9</v>
      </c>
      <c r="L97" s="1">
        <f>3540.2-0.3</f>
        <v>3539.8999999999996</v>
      </c>
      <c r="M97" s="1">
        <v>4309.8999999999996</v>
      </c>
      <c r="N97" s="1">
        <v>4309.8999999999996</v>
      </c>
      <c r="O97" s="1">
        <v>885.4</v>
      </c>
      <c r="P97" s="1">
        <v>3540.2</v>
      </c>
      <c r="Q97" s="1">
        <v>3540.2</v>
      </c>
    </row>
    <row r="98" spans="1:17" ht="22.45" customHeight="1" x14ac:dyDescent="0.25">
      <c r="A98" s="84"/>
      <c r="B98" s="97"/>
      <c r="C98" s="95"/>
      <c r="D98" s="2" t="s">
        <v>21</v>
      </c>
      <c r="E98" s="3">
        <f t="shared" si="34"/>
        <v>3036.8999999999996</v>
      </c>
      <c r="F98" s="1"/>
      <c r="G98" s="1">
        <v>0</v>
      </c>
      <c r="H98" s="1">
        <v>0</v>
      </c>
      <c r="I98" s="1">
        <v>0</v>
      </c>
      <c r="J98" s="1">
        <v>244.9</v>
      </c>
      <c r="K98" s="1">
        <v>370.8</v>
      </c>
      <c r="L98" s="1">
        <f>732.8-383.9</f>
        <v>348.9</v>
      </c>
      <c r="M98" s="1">
        <f>732.8-457.7</f>
        <v>275.09999999999997</v>
      </c>
      <c r="N98" s="1">
        <f>732.8-457.7</f>
        <v>275.09999999999997</v>
      </c>
      <c r="O98" s="1">
        <f>732.8-676.3</f>
        <v>56.5</v>
      </c>
      <c r="P98" s="1">
        <v>732.8</v>
      </c>
      <c r="Q98" s="1">
        <v>732.8</v>
      </c>
    </row>
    <row r="99" spans="1:17" ht="32.25" customHeight="1" x14ac:dyDescent="0.25">
      <c r="A99" s="78"/>
      <c r="B99" s="120"/>
      <c r="C99" s="96"/>
      <c r="D99" s="2" t="s">
        <v>23</v>
      </c>
      <c r="E99" s="3">
        <f t="shared" si="34"/>
        <v>0</v>
      </c>
      <c r="F99" s="1"/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ht="20.149999999999999" customHeight="1" x14ac:dyDescent="0.25">
      <c r="A100" s="155" t="s">
        <v>149</v>
      </c>
      <c r="B100" s="167" t="s">
        <v>150</v>
      </c>
      <c r="C100" s="103"/>
      <c r="D100" s="34" t="s">
        <v>31</v>
      </c>
      <c r="E100" s="35">
        <f t="shared" ref="E100:E109" si="36">SUM(F100:Q100)</f>
        <v>30628.400000000001</v>
      </c>
      <c r="F100" s="1"/>
      <c r="G100" s="1">
        <v>0</v>
      </c>
      <c r="H100" s="1">
        <v>0</v>
      </c>
      <c r="I100" s="1">
        <v>0</v>
      </c>
      <c r="J100" s="1">
        <f t="shared" ref="J100:Q100" si="37">SUM(J101:J103)</f>
        <v>0</v>
      </c>
      <c r="K100" s="1">
        <f t="shared" si="37"/>
        <v>17799.400000000001</v>
      </c>
      <c r="L100" s="1">
        <f t="shared" si="37"/>
        <v>12828.999999999998</v>
      </c>
      <c r="M100" s="1">
        <f t="shared" si="37"/>
        <v>0</v>
      </c>
      <c r="N100" s="1">
        <f t="shared" si="37"/>
        <v>0</v>
      </c>
      <c r="O100" s="1">
        <f t="shared" si="37"/>
        <v>0</v>
      </c>
      <c r="P100" s="1">
        <f t="shared" si="37"/>
        <v>0</v>
      </c>
      <c r="Q100" s="1">
        <f t="shared" si="37"/>
        <v>0</v>
      </c>
    </row>
    <row r="101" spans="1:17" ht="20.149999999999999" customHeight="1" x14ac:dyDescent="0.25">
      <c r="A101" s="151"/>
      <c r="B101" s="185"/>
      <c r="C101" s="103"/>
      <c r="D101" s="2" t="s">
        <v>19</v>
      </c>
      <c r="E101" s="3">
        <f t="shared" si="36"/>
        <v>0</v>
      </c>
      <c r="F101" s="1"/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ht="20.149999999999999" customHeight="1" x14ac:dyDescent="0.25">
      <c r="A102" s="151"/>
      <c r="B102" s="185"/>
      <c r="C102" s="103"/>
      <c r="D102" s="2" t="s">
        <v>20</v>
      </c>
      <c r="E102" s="3">
        <f t="shared" si="36"/>
        <v>30628.400000000001</v>
      </c>
      <c r="F102" s="1"/>
      <c r="G102" s="1">
        <v>0</v>
      </c>
      <c r="H102" s="1">
        <v>0</v>
      </c>
      <c r="I102" s="1">
        <v>0</v>
      </c>
      <c r="J102" s="1">
        <v>0</v>
      </c>
      <c r="K102" s="1">
        <v>17799.400000000001</v>
      </c>
      <c r="L102" s="1">
        <f>40662+10165.5-25376.4-12622.1</f>
        <v>12828.999999999998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</row>
    <row r="103" spans="1:17" ht="23.75" customHeight="1" x14ac:dyDescent="0.25">
      <c r="A103" s="151"/>
      <c r="B103" s="185"/>
      <c r="C103" s="103"/>
      <c r="D103" s="2" t="s">
        <v>21</v>
      </c>
      <c r="E103" s="3">
        <f t="shared" si="36"/>
        <v>0</v>
      </c>
      <c r="F103" s="1"/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</row>
    <row r="104" spans="1:17" ht="30.8" customHeight="1" x14ac:dyDescent="0.25">
      <c r="A104" s="152"/>
      <c r="B104" s="186"/>
      <c r="C104" s="103"/>
      <c r="D104" s="2" t="s">
        <v>23</v>
      </c>
      <c r="E104" s="3">
        <f t="shared" si="36"/>
        <v>0</v>
      </c>
      <c r="F104" s="1"/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</row>
    <row r="105" spans="1:17" ht="24.05" customHeight="1" x14ac:dyDescent="0.25">
      <c r="A105" s="150" t="s">
        <v>160</v>
      </c>
      <c r="B105" s="192" t="s">
        <v>161</v>
      </c>
      <c r="C105" s="103"/>
      <c r="D105" s="2" t="s">
        <v>31</v>
      </c>
      <c r="E105" s="3">
        <f t="shared" si="36"/>
        <v>42448.6</v>
      </c>
      <c r="F105" s="1"/>
      <c r="G105" s="1">
        <v>0</v>
      </c>
      <c r="H105" s="1">
        <v>0</v>
      </c>
      <c r="I105" s="1">
        <v>0</v>
      </c>
      <c r="J105" s="1">
        <f t="shared" ref="J105:Q105" si="38">SUM(J106:J108)</f>
        <v>0</v>
      </c>
      <c r="K105" s="1">
        <f t="shared" si="38"/>
        <v>0</v>
      </c>
      <c r="L105" s="1">
        <f t="shared" si="38"/>
        <v>35457</v>
      </c>
      <c r="M105" s="1">
        <f t="shared" si="38"/>
        <v>6991.6</v>
      </c>
      <c r="N105" s="1">
        <f t="shared" si="38"/>
        <v>0</v>
      </c>
      <c r="O105" s="1">
        <f t="shared" si="38"/>
        <v>0</v>
      </c>
      <c r="P105" s="1">
        <f t="shared" si="38"/>
        <v>0</v>
      </c>
      <c r="Q105" s="1">
        <f t="shared" si="38"/>
        <v>0</v>
      </c>
    </row>
    <row r="106" spans="1:17" ht="20.3" customHeight="1" x14ac:dyDescent="0.25">
      <c r="A106" s="151"/>
      <c r="B106" s="179"/>
      <c r="C106" s="103"/>
      <c r="D106" s="2" t="s">
        <v>19</v>
      </c>
      <c r="E106" s="3">
        <f t="shared" si="36"/>
        <v>0</v>
      </c>
      <c r="F106" s="1"/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</row>
    <row r="107" spans="1:17" ht="26.2" customHeight="1" x14ac:dyDescent="0.25">
      <c r="A107" s="151"/>
      <c r="B107" s="179"/>
      <c r="C107" s="103"/>
      <c r="D107" s="2" t="s">
        <v>20</v>
      </c>
      <c r="E107" s="3">
        <f t="shared" si="36"/>
        <v>39901.699999999997</v>
      </c>
      <c r="F107" s="1"/>
      <c r="G107" s="1">
        <v>0</v>
      </c>
      <c r="H107" s="1">
        <v>0</v>
      </c>
      <c r="I107" s="1">
        <v>0</v>
      </c>
      <c r="J107" s="1">
        <v>0</v>
      </c>
      <c r="K107" s="1"/>
      <c r="L107" s="1">
        <v>33329.599999999999</v>
      </c>
      <c r="M107" s="1">
        <v>6572.1</v>
      </c>
      <c r="N107" s="1">
        <v>0</v>
      </c>
      <c r="O107" s="1">
        <v>0</v>
      </c>
      <c r="P107" s="1">
        <v>0</v>
      </c>
      <c r="Q107" s="1">
        <v>0</v>
      </c>
    </row>
    <row r="108" spans="1:17" ht="20.3" customHeight="1" x14ac:dyDescent="0.25">
      <c r="A108" s="151"/>
      <c r="B108" s="97"/>
      <c r="C108" s="103"/>
      <c r="D108" s="2" t="s">
        <v>21</v>
      </c>
      <c r="E108" s="3">
        <f t="shared" si="36"/>
        <v>2546.9</v>
      </c>
      <c r="F108" s="1"/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2127.4</v>
      </c>
      <c r="M108" s="1">
        <f>394.3+25.2</f>
        <v>419.5</v>
      </c>
      <c r="N108" s="1">
        <v>0</v>
      </c>
      <c r="O108" s="1">
        <v>0</v>
      </c>
      <c r="P108" s="1">
        <v>0</v>
      </c>
      <c r="Q108" s="1">
        <v>0</v>
      </c>
    </row>
    <row r="109" spans="1:17" ht="25.55" customHeight="1" x14ac:dyDescent="0.25">
      <c r="A109" s="152"/>
      <c r="B109" s="99"/>
      <c r="C109" s="103"/>
      <c r="D109" s="2" t="s">
        <v>23</v>
      </c>
      <c r="E109" s="3">
        <f t="shared" si="36"/>
        <v>0</v>
      </c>
      <c r="F109" s="1"/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ht="19" customHeight="1" x14ac:dyDescent="0.25">
      <c r="A110" s="163" t="s">
        <v>166</v>
      </c>
      <c r="B110" s="181" t="s">
        <v>167</v>
      </c>
      <c r="C110" s="95"/>
      <c r="D110" s="2" t="s">
        <v>31</v>
      </c>
      <c r="E110" s="3">
        <f t="shared" ref="E110:E114" si="39">SUM(F110:Q110)</f>
        <v>102258.70000000001</v>
      </c>
      <c r="F110" s="1"/>
      <c r="G110" s="1">
        <v>0</v>
      </c>
      <c r="H110" s="1">
        <v>0</v>
      </c>
      <c r="I110" s="1">
        <v>0</v>
      </c>
      <c r="J110" s="1">
        <f t="shared" ref="J110:Q110" si="40">SUM(J111:J113)</f>
        <v>0</v>
      </c>
      <c r="K110" s="1">
        <f t="shared" si="40"/>
        <v>0</v>
      </c>
      <c r="L110" s="1">
        <f t="shared" si="40"/>
        <v>10342</v>
      </c>
      <c r="M110" s="1">
        <f t="shared" si="40"/>
        <v>58090.5</v>
      </c>
      <c r="N110" s="1">
        <f t="shared" si="40"/>
        <v>16913.099999999999</v>
      </c>
      <c r="O110" s="1">
        <f t="shared" si="40"/>
        <v>16913.099999999999</v>
      </c>
      <c r="P110" s="1">
        <f t="shared" si="40"/>
        <v>0</v>
      </c>
      <c r="Q110" s="1">
        <f t="shared" si="40"/>
        <v>0</v>
      </c>
    </row>
    <row r="111" spans="1:17" ht="23.75" customHeight="1" x14ac:dyDescent="0.25">
      <c r="A111" s="149"/>
      <c r="B111" s="182"/>
      <c r="C111" s="95"/>
      <c r="D111" s="2" t="s">
        <v>19</v>
      </c>
      <c r="E111" s="3">
        <f t="shared" si="39"/>
        <v>0</v>
      </c>
      <c r="F111" s="1"/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</row>
    <row r="112" spans="1:17" ht="22.25" customHeight="1" x14ac:dyDescent="0.25">
      <c r="A112" s="149"/>
      <c r="B112" s="182"/>
      <c r="C112" s="95"/>
      <c r="D112" s="2" t="s">
        <v>20</v>
      </c>
      <c r="E112" s="3">
        <f t="shared" si="39"/>
        <v>0</v>
      </c>
      <c r="F112" s="1"/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7" ht="21.6" customHeight="1" x14ac:dyDescent="0.25">
      <c r="A113" s="149"/>
      <c r="B113" s="36"/>
      <c r="C113" s="95"/>
      <c r="D113" s="2" t="s">
        <v>21</v>
      </c>
      <c r="E113" s="3">
        <f t="shared" si="39"/>
        <v>102258.70000000001</v>
      </c>
      <c r="F113" s="1"/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f>22767+1225-13650</f>
        <v>10342</v>
      </c>
      <c r="M113" s="1">
        <f>16221.1+692+1050+1400+9000+29590.9+136.5</f>
        <v>58090.5</v>
      </c>
      <c r="N113" s="1">
        <f>16221.1+692</f>
        <v>16913.099999999999</v>
      </c>
      <c r="O113" s="1">
        <f>16221.1+692</f>
        <v>16913.099999999999</v>
      </c>
      <c r="P113" s="1">
        <v>0</v>
      </c>
      <c r="Q113" s="1">
        <v>0</v>
      </c>
    </row>
    <row r="114" spans="1:17" ht="30.8" customHeight="1" x14ac:dyDescent="0.25">
      <c r="A114" s="160"/>
      <c r="B114" s="37"/>
      <c r="C114" s="95"/>
      <c r="D114" s="2" t="s">
        <v>23</v>
      </c>
      <c r="E114" s="3">
        <f t="shared" si="39"/>
        <v>0</v>
      </c>
      <c r="F114" s="1"/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</row>
    <row r="115" spans="1:17" s="15" customFormat="1" ht="36.65" hidden="1" customHeight="1" x14ac:dyDescent="0.25">
      <c r="A115" s="38"/>
      <c r="B115" s="36"/>
      <c r="C115" s="39"/>
      <c r="D115" s="40"/>
      <c r="E115" s="27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2"/>
    </row>
    <row r="116" spans="1:17" ht="19" customHeight="1" x14ac:dyDescent="0.25">
      <c r="A116" s="197" t="s">
        <v>171</v>
      </c>
      <c r="B116" s="192" t="s">
        <v>190</v>
      </c>
      <c r="C116" s="41"/>
      <c r="D116" s="2" t="s">
        <v>31</v>
      </c>
      <c r="E116" s="3">
        <f t="shared" ref="E116:E120" si="41">SUM(F116:Q116)</f>
        <v>78723.399999999994</v>
      </c>
      <c r="F116" s="1"/>
      <c r="G116" s="1">
        <v>0</v>
      </c>
      <c r="H116" s="1">
        <v>0</v>
      </c>
      <c r="I116" s="1">
        <v>0</v>
      </c>
      <c r="J116" s="1">
        <f t="shared" ref="J116:Q116" si="42">SUM(J117:J119)</f>
        <v>0</v>
      </c>
      <c r="K116" s="1">
        <f t="shared" si="42"/>
        <v>0</v>
      </c>
      <c r="L116" s="1">
        <f t="shared" si="42"/>
        <v>10000</v>
      </c>
      <c r="M116" s="1">
        <f t="shared" si="42"/>
        <v>30000</v>
      </c>
      <c r="N116" s="1">
        <f t="shared" si="42"/>
        <v>30000</v>
      </c>
      <c r="O116" s="1">
        <f t="shared" si="42"/>
        <v>8723.4</v>
      </c>
      <c r="P116" s="1">
        <f t="shared" si="42"/>
        <v>0</v>
      </c>
      <c r="Q116" s="1">
        <f t="shared" si="42"/>
        <v>0</v>
      </c>
    </row>
    <row r="117" spans="1:17" ht="24.9" customHeight="1" x14ac:dyDescent="0.25">
      <c r="A117" s="197"/>
      <c r="B117" s="179"/>
      <c r="C117" s="41"/>
      <c r="D117" s="2" t="s">
        <v>19</v>
      </c>
      <c r="E117" s="3">
        <f t="shared" si="41"/>
        <v>0</v>
      </c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</row>
    <row r="118" spans="1:17" ht="26.2" customHeight="1" x14ac:dyDescent="0.25">
      <c r="A118" s="197"/>
      <c r="B118" s="179"/>
      <c r="C118" s="41"/>
      <c r="D118" s="2" t="s">
        <v>20</v>
      </c>
      <c r="E118" s="3">
        <f t="shared" si="41"/>
        <v>74000</v>
      </c>
      <c r="F118" s="1"/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9400</v>
      </c>
      <c r="M118" s="1">
        <v>28200</v>
      </c>
      <c r="N118" s="1">
        <v>28200</v>
      </c>
      <c r="O118" s="1">
        <v>8200</v>
      </c>
      <c r="P118" s="1">
        <v>0</v>
      </c>
      <c r="Q118" s="1">
        <v>0</v>
      </c>
    </row>
    <row r="119" spans="1:17" ht="19.649999999999999" customHeight="1" x14ac:dyDescent="0.25">
      <c r="A119" s="197"/>
      <c r="B119" s="179"/>
      <c r="C119" s="41"/>
      <c r="D119" s="2" t="s">
        <v>21</v>
      </c>
      <c r="E119" s="3">
        <f t="shared" si="41"/>
        <v>4723.3999999999996</v>
      </c>
      <c r="F119" s="1"/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600</v>
      </c>
      <c r="M119" s="1">
        <v>1800</v>
      </c>
      <c r="N119" s="1">
        <v>1800</v>
      </c>
      <c r="O119" s="1">
        <v>523.4</v>
      </c>
      <c r="P119" s="1">
        <v>0</v>
      </c>
      <c r="Q119" s="1">
        <v>0</v>
      </c>
    </row>
    <row r="120" spans="1:17" ht="56.3" customHeight="1" x14ac:dyDescent="0.25">
      <c r="A120" s="197"/>
      <c r="B120" s="180"/>
      <c r="C120" s="41"/>
      <c r="D120" s="2" t="s">
        <v>23</v>
      </c>
      <c r="E120" s="3">
        <f t="shared" si="41"/>
        <v>0</v>
      </c>
      <c r="F120" s="1"/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</row>
    <row r="121" spans="1:17" ht="26.85" customHeight="1" x14ac:dyDescent="0.25">
      <c r="A121" s="163" t="s">
        <v>172</v>
      </c>
      <c r="B121" s="181" t="s">
        <v>175</v>
      </c>
      <c r="C121" s="95"/>
      <c r="D121" s="2" t="s">
        <v>31</v>
      </c>
      <c r="E121" s="3">
        <f t="shared" ref="E121:E130" si="43">SUM(F121:Q121)</f>
        <v>471724.3</v>
      </c>
      <c r="F121" s="1"/>
      <c r="G121" s="1">
        <v>0</v>
      </c>
      <c r="H121" s="1">
        <v>0</v>
      </c>
      <c r="I121" s="1">
        <v>0</v>
      </c>
      <c r="J121" s="1">
        <f t="shared" ref="J121:Q121" si="44">SUM(J122:J124)</f>
        <v>0</v>
      </c>
      <c r="K121" s="1">
        <f t="shared" si="44"/>
        <v>0</v>
      </c>
      <c r="L121" s="1">
        <f t="shared" si="44"/>
        <v>47172.4</v>
      </c>
      <c r="M121" s="1">
        <f t="shared" si="44"/>
        <v>141517.30000000002</v>
      </c>
      <c r="N121" s="1">
        <f t="shared" si="44"/>
        <v>141517.30000000002</v>
      </c>
      <c r="O121" s="1">
        <f t="shared" si="44"/>
        <v>141517.29999999999</v>
      </c>
      <c r="P121" s="1">
        <f t="shared" si="44"/>
        <v>0</v>
      </c>
      <c r="Q121" s="1">
        <f t="shared" si="44"/>
        <v>0</v>
      </c>
    </row>
    <row r="122" spans="1:17" ht="22.45" customHeight="1" x14ac:dyDescent="0.25">
      <c r="A122" s="149"/>
      <c r="B122" s="182"/>
      <c r="C122" s="95"/>
      <c r="D122" s="2" t="s">
        <v>19</v>
      </c>
      <c r="E122" s="3">
        <f t="shared" si="43"/>
        <v>0</v>
      </c>
      <c r="F122" s="1"/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</row>
    <row r="123" spans="1:17" ht="24.25" customHeight="1" x14ac:dyDescent="0.25">
      <c r="A123" s="149"/>
      <c r="B123" s="182"/>
      <c r="C123" s="95"/>
      <c r="D123" s="2" t="s">
        <v>20</v>
      </c>
      <c r="E123" s="3">
        <f t="shared" si="43"/>
        <v>471724.3</v>
      </c>
      <c r="F123" s="1"/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f>42887.9+2859.2+457.5+9.6+898.4+59.9-0.1</f>
        <v>47172.4</v>
      </c>
      <c r="M123" s="1">
        <f>128663.6+8577.6+1372.4+2903.7</f>
        <v>141517.30000000002</v>
      </c>
      <c r="N123" s="1">
        <f>128663.6+8577.6+1372.4+2903.7</f>
        <v>141517.30000000002</v>
      </c>
      <c r="O123" s="1">
        <f>141517.3</f>
        <v>141517.29999999999</v>
      </c>
      <c r="P123" s="1">
        <v>0</v>
      </c>
      <c r="Q123" s="1">
        <v>0</v>
      </c>
    </row>
    <row r="124" spans="1:17" ht="24.9" customHeight="1" x14ac:dyDescent="0.25">
      <c r="A124" s="149"/>
      <c r="B124" s="182"/>
      <c r="C124" s="95"/>
      <c r="D124" s="2" t="s">
        <v>21</v>
      </c>
      <c r="E124" s="3">
        <f t="shared" si="43"/>
        <v>0</v>
      </c>
      <c r="F124" s="1"/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</row>
    <row r="125" spans="1:17" ht="30.8" customHeight="1" x14ac:dyDescent="0.25">
      <c r="A125" s="149"/>
      <c r="B125" s="182"/>
      <c r="C125" s="96"/>
      <c r="D125" s="2" t="s">
        <v>23</v>
      </c>
      <c r="E125" s="3">
        <f t="shared" si="43"/>
        <v>0</v>
      </c>
      <c r="F125" s="1"/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7" ht="20.149999999999999" customHeight="1" x14ac:dyDescent="0.25">
      <c r="A126" s="114" t="s">
        <v>174</v>
      </c>
      <c r="B126" s="192" t="s">
        <v>176</v>
      </c>
      <c r="C126" s="95"/>
      <c r="D126" s="2" t="s">
        <v>31</v>
      </c>
      <c r="E126" s="3">
        <f t="shared" si="43"/>
        <v>496126.19999999995</v>
      </c>
      <c r="F126" s="1"/>
      <c r="G126" s="1">
        <v>0</v>
      </c>
      <c r="H126" s="1">
        <v>0</v>
      </c>
      <c r="I126" s="1">
        <v>0</v>
      </c>
      <c r="J126" s="1">
        <f t="shared" ref="J126:Q126" si="45">SUM(J127:J129)</f>
        <v>0</v>
      </c>
      <c r="K126" s="1">
        <f t="shared" si="45"/>
        <v>0</v>
      </c>
      <c r="L126" s="1">
        <f>SUM(L127:L129)</f>
        <v>67636</v>
      </c>
      <c r="M126" s="1">
        <f t="shared" si="45"/>
        <v>138862.29999999999</v>
      </c>
      <c r="N126" s="1">
        <f t="shared" si="45"/>
        <v>143757</v>
      </c>
      <c r="O126" s="1">
        <f t="shared" si="45"/>
        <v>145870.9</v>
      </c>
      <c r="P126" s="1">
        <f t="shared" si="45"/>
        <v>0</v>
      </c>
      <c r="Q126" s="1">
        <f t="shared" si="45"/>
        <v>0</v>
      </c>
    </row>
    <row r="127" spans="1:17" ht="22.95" customHeight="1" x14ac:dyDescent="0.25">
      <c r="A127" s="88"/>
      <c r="B127" s="179"/>
      <c r="C127" s="95"/>
      <c r="D127" s="2" t="s">
        <v>19</v>
      </c>
      <c r="E127" s="3">
        <f t="shared" si="43"/>
        <v>0</v>
      </c>
      <c r="F127" s="1"/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7" ht="22.95" customHeight="1" x14ac:dyDescent="0.25">
      <c r="A128" s="88"/>
      <c r="B128" s="179"/>
      <c r="C128" s="95"/>
      <c r="D128" s="2" t="s">
        <v>20</v>
      </c>
      <c r="E128" s="3">
        <f t="shared" si="43"/>
        <v>488301.69999999995</v>
      </c>
      <c r="F128" s="1"/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f>54924+549.2+43+4295.2+0.1</f>
        <v>59811.499999999993</v>
      </c>
      <c r="M128" s="1">
        <f>137487.4+1374.9</f>
        <v>138862.29999999999</v>
      </c>
      <c r="N128" s="1">
        <f>142333.7+1423.3</f>
        <v>143757</v>
      </c>
      <c r="O128" s="1">
        <f>144426.6+1444.3</f>
        <v>145870.9</v>
      </c>
      <c r="P128" s="1">
        <v>0</v>
      </c>
      <c r="Q128" s="1">
        <v>0</v>
      </c>
    </row>
    <row r="129" spans="1:17" ht="24.25" customHeight="1" x14ac:dyDescent="0.25">
      <c r="A129" s="88"/>
      <c r="B129" s="97"/>
      <c r="C129" s="96"/>
      <c r="D129" s="2" t="s">
        <v>21</v>
      </c>
      <c r="E129" s="3">
        <f t="shared" si="43"/>
        <v>7824.5</v>
      </c>
      <c r="F129" s="1"/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f>7824.5</f>
        <v>7824.5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</row>
    <row r="130" spans="1:17" ht="29.15" customHeight="1" x14ac:dyDescent="0.25">
      <c r="A130" s="115"/>
      <c r="B130" s="120"/>
      <c r="C130" s="95"/>
      <c r="D130" s="34" t="s">
        <v>23</v>
      </c>
      <c r="E130" s="3">
        <f t="shared" si="43"/>
        <v>0</v>
      </c>
      <c r="F130" s="1"/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ht="26.85" customHeight="1" x14ac:dyDescent="0.25">
      <c r="A131" s="155" t="s">
        <v>186</v>
      </c>
      <c r="B131" s="167" t="s">
        <v>187</v>
      </c>
      <c r="C131" s="103"/>
      <c r="D131" s="2" t="s">
        <v>31</v>
      </c>
      <c r="E131" s="3">
        <f t="shared" ref="E131:E135" si="46">SUM(F131:Q131)</f>
        <v>2154.1999999999998</v>
      </c>
      <c r="F131" s="1"/>
      <c r="G131" s="1">
        <v>0</v>
      </c>
      <c r="H131" s="1">
        <v>0</v>
      </c>
      <c r="I131" s="1">
        <v>0</v>
      </c>
      <c r="J131" s="1">
        <f t="shared" ref="J131:Q131" si="47">SUM(J132:J134)</f>
        <v>0</v>
      </c>
      <c r="K131" s="1">
        <f t="shared" si="47"/>
        <v>0</v>
      </c>
      <c r="L131" s="1">
        <f t="shared" si="47"/>
        <v>1954.2</v>
      </c>
      <c r="M131" s="1">
        <f t="shared" si="47"/>
        <v>200</v>
      </c>
      <c r="N131" s="1">
        <f t="shared" si="47"/>
        <v>0</v>
      </c>
      <c r="O131" s="1">
        <f t="shared" si="47"/>
        <v>0</v>
      </c>
      <c r="P131" s="1">
        <f t="shared" si="47"/>
        <v>0</v>
      </c>
      <c r="Q131" s="1">
        <f t="shared" si="47"/>
        <v>0</v>
      </c>
    </row>
    <row r="132" spans="1:17" ht="24.25" customHeight="1" x14ac:dyDescent="0.25">
      <c r="A132" s="151"/>
      <c r="B132" s="179"/>
      <c r="C132" s="103"/>
      <c r="D132" s="2" t="s">
        <v>19</v>
      </c>
      <c r="E132" s="3">
        <f t="shared" si="46"/>
        <v>0</v>
      </c>
      <c r="F132" s="1"/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ht="24.25" customHeight="1" x14ac:dyDescent="0.25">
      <c r="A133" s="151"/>
      <c r="B133" s="179"/>
      <c r="C133" s="103"/>
      <c r="D133" s="2" t="s">
        <v>20</v>
      </c>
      <c r="E133" s="3">
        <f t="shared" si="46"/>
        <v>0</v>
      </c>
      <c r="F133" s="1"/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ht="20.149999999999999" customHeight="1" x14ac:dyDescent="0.25">
      <c r="A134" s="151"/>
      <c r="B134" s="179"/>
      <c r="C134" s="103"/>
      <c r="D134" s="2" t="s">
        <v>21</v>
      </c>
      <c r="E134" s="3">
        <f t="shared" si="46"/>
        <v>2154.1999999999998</v>
      </c>
      <c r="F134" s="1"/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1954.2</v>
      </c>
      <c r="M134" s="1">
        <v>200</v>
      </c>
      <c r="N134" s="1">
        <v>0</v>
      </c>
      <c r="O134" s="1">
        <v>0</v>
      </c>
      <c r="P134" s="1">
        <v>0</v>
      </c>
      <c r="Q134" s="1">
        <v>0</v>
      </c>
    </row>
    <row r="135" spans="1:17" ht="33.4" customHeight="1" x14ac:dyDescent="0.25">
      <c r="A135" s="151"/>
      <c r="B135" s="180"/>
      <c r="C135" s="103"/>
      <c r="D135" s="2" t="s">
        <v>23</v>
      </c>
      <c r="E135" s="3">
        <f t="shared" si="46"/>
        <v>0</v>
      </c>
      <c r="F135" s="1"/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</row>
    <row r="136" spans="1:17" ht="26.85" customHeight="1" x14ac:dyDescent="0.25">
      <c r="A136" s="83" t="s">
        <v>193</v>
      </c>
      <c r="B136" s="192" t="s">
        <v>195</v>
      </c>
      <c r="C136" s="95"/>
      <c r="D136" s="2" t="s">
        <v>31</v>
      </c>
      <c r="E136" s="3">
        <f t="shared" ref="E136:E140" si="48">SUM(F136:Q136)</f>
        <v>28316.5</v>
      </c>
      <c r="F136" s="1"/>
      <c r="G136" s="1">
        <v>0</v>
      </c>
      <c r="H136" s="1">
        <v>0</v>
      </c>
      <c r="I136" s="1">
        <v>0</v>
      </c>
      <c r="J136" s="1">
        <f t="shared" ref="J136:Q136" si="49">SUM(J137:J139)</f>
        <v>0</v>
      </c>
      <c r="K136" s="1">
        <f t="shared" si="49"/>
        <v>0</v>
      </c>
      <c r="L136" s="1">
        <f t="shared" si="49"/>
        <v>0</v>
      </c>
      <c r="M136" s="1">
        <f t="shared" si="49"/>
        <v>28316.5</v>
      </c>
      <c r="N136" s="1">
        <f t="shared" si="49"/>
        <v>0</v>
      </c>
      <c r="O136" s="1">
        <f t="shared" si="49"/>
        <v>0</v>
      </c>
      <c r="P136" s="1">
        <f t="shared" si="49"/>
        <v>0</v>
      </c>
      <c r="Q136" s="1">
        <f t="shared" si="49"/>
        <v>0</v>
      </c>
    </row>
    <row r="137" spans="1:17" ht="24.25" customHeight="1" x14ac:dyDescent="0.25">
      <c r="A137" s="84"/>
      <c r="B137" s="179"/>
      <c r="C137" s="95"/>
      <c r="D137" s="2" t="s">
        <v>19</v>
      </c>
      <c r="E137" s="3">
        <f t="shared" si="48"/>
        <v>0</v>
      </c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</row>
    <row r="138" spans="1:17" ht="24.25" customHeight="1" x14ac:dyDescent="0.25">
      <c r="A138" s="84"/>
      <c r="B138" s="179"/>
      <c r="C138" s="95"/>
      <c r="D138" s="2" t="s">
        <v>20</v>
      </c>
      <c r="E138" s="3">
        <f t="shared" si="48"/>
        <v>0</v>
      </c>
      <c r="F138" s="1"/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</row>
    <row r="139" spans="1:17" ht="20.149999999999999" customHeight="1" x14ac:dyDescent="0.25">
      <c r="A139" s="84"/>
      <c r="B139" s="179"/>
      <c r="C139" s="96"/>
      <c r="D139" s="2" t="s">
        <v>21</v>
      </c>
      <c r="E139" s="3">
        <f t="shared" si="48"/>
        <v>28316.5</v>
      </c>
      <c r="F139" s="1"/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f>5570.3+22746.2</f>
        <v>28316.5</v>
      </c>
      <c r="N139" s="1">
        <v>0</v>
      </c>
      <c r="O139" s="1">
        <v>0</v>
      </c>
      <c r="P139" s="1">
        <v>0</v>
      </c>
      <c r="Q139" s="1">
        <v>0</v>
      </c>
    </row>
    <row r="140" spans="1:17" ht="33.4" customHeight="1" x14ac:dyDescent="0.25">
      <c r="A140" s="78"/>
      <c r="B140" s="120"/>
      <c r="C140" s="95"/>
      <c r="D140" s="34" t="s">
        <v>23</v>
      </c>
      <c r="E140" s="3">
        <f t="shared" si="48"/>
        <v>0</v>
      </c>
      <c r="F140" s="1"/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</row>
    <row r="141" spans="1:17" ht="33.4" customHeight="1" x14ac:dyDescent="0.25">
      <c r="A141" s="83" t="s">
        <v>196</v>
      </c>
      <c r="B141" s="192" t="s">
        <v>206</v>
      </c>
      <c r="C141" s="95"/>
      <c r="D141" s="2" t="s">
        <v>31</v>
      </c>
      <c r="E141" s="3">
        <f t="shared" ref="E141:E145" si="50">SUM(F141:Q141)</f>
        <v>812</v>
      </c>
      <c r="F141" s="1"/>
      <c r="G141" s="1">
        <v>0</v>
      </c>
      <c r="H141" s="1">
        <v>0</v>
      </c>
      <c r="I141" s="1">
        <v>0</v>
      </c>
      <c r="J141" s="1">
        <f t="shared" ref="J141:Q141" si="51">SUM(J142:J144)</f>
        <v>0</v>
      </c>
      <c r="K141" s="1">
        <f t="shared" si="51"/>
        <v>0</v>
      </c>
      <c r="L141" s="1">
        <f t="shared" si="51"/>
        <v>0</v>
      </c>
      <c r="M141" s="1">
        <f t="shared" si="51"/>
        <v>812</v>
      </c>
      <c r="N141" s="1">
        <f t="shared" si="51"/>
        <v>0</v>
      </c>
      <c r="O141" s="1">
        <f t="shared" si="51"/>
        <v>0</v>
      </c>
      <c r="P141" s="1">
        <f t="shared" si="51"/>
        <v>0</v>
      </c>
      <c r="Q141" s="1">
        <f t="shared" si="51"/>
        <v>0</v>
      </c>
    </row>
    <row r="142" spans="1:17" ht="33.4" customHeight="1" x14ac:dyDescent="0.25">
      <c r="A142" s="84"/>
      <c r="B142" s="179"/>
      <c r="C142" s="95"/>
      <c r="D142" s="2" t="s">
        <v>19</v>
      </c>
      <c r="E142" s="3">
        <f t="shared" si="50"/>
        <v>0</v>
      </c>
      <c r="F142" s="1"/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</row>
    <row r="143" spans="1:17" ht="33.4" customHeight="1" x14ac:dyDescent="0.25">
      <c r="A143" s="84"/>
      <c r="B143" s="179"/>
      <c r="C143" s="95"/>
      <c r="D143" s="2" t="s">
        <v>20</v>
      </c>
      <c r="E143" s="3">
        <f t="shared" si="50"/>
        <v>0</v>
      </c>
      <c r="F143" s="1"/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</row>
    <row r="144" spans="1:17" ht="33.4" customHeight="1" x14ac:dyDescent="0.25">
      <c r="A144" s="84"/>
      <c r="B144" s="97"/>
      <c r="C144" s="96"/>
      <c r="D144" s="2" t="s">
        <v>21</v>
      </c>
      <c r="E144" s="3">
        <f t="shared" si="50"/>
        <v>812</v>
      </c>
      <c r="F144" s="1"/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812</v>
      </c>
      <c r="N144" s="1">
        <v>0</v>
      </c>
      <c r="O144" s="1">
        <v>0</v>
      </c>
      <c r="P144" s="1">
        <v>0</v>
      </c>
      <c r="Q144" s="1">
        <v>0</v>
      </c>
    </row>
    <row r="145" spans="1:22" ht="33.4" customHeight="1" x14ac:dyDescent="0.25">
      <c r="A145" s="78"/>
      <c r="B145" s="120"/>
      <c r="C145" s="95"/>
      <c r="D145" s="34" t="s">
        <v>23</v>
      </c>
      <c r="E145" s="3">
        <f t="shared" si="50"/>
        <v>0</v>
      </c>
      <c r="F145" s="1"/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</row>
    <row r="146" spans="1:22" ht="34.049999999999997" customHeight="1" x14ac:dyDescent="0.25">
      <c r="A146" s="210" t="s">
        <v>58</v>
      </c>
      <c r="B146" s="139" t="s">
        <v>159</v>
      </c>
      <c r="C146" s="42"/>
      <c r="D146" s="43" t="s">
        <v>4</v>
      </c>
      <c r="E146" s="44">
        <f>SUM(F146:Q146)</f>
        <v>1855447.8</v>
      </c>
      <c r="F146" s="45"/>
      <c r="G146" s="45">
        <f>G152+G157+G162+G167+G172+G190+G195+G205+G178+G184</f>
        <v>115060.49999999999</v>
      </c>
      <c r="H146" s="10">
        <f>H152+H157+H162+H167+H172+H190+H195+H205+H210</f>
        <v>232264.1</v>
      </c>
      <c r="I146" s="10">
        <f>I152+I157+I162+I167+I172+I190+I195+I205+I200</f>
        <v>47279.8</v>
      </c>
      <c r="J146" s="10">
        <f>J152+J157+J162+J167+J172+J190+J195+J205+J200+J210</f>
        <v>564022.1</v>
      </c>
      <c r="K146" s="10">
        <f>K152+K157+K162+K167+K172+K190+K195+K205+K210+K200+K215+K220+K225+K230+K235</f>
        <v>268628.19999999995</v>
      </c>
      <c r="L146" s="10">
        <f>L152+L157+L162+L167+L172+L190+L195+L205+L210+L200+L215+L220+L225+L230+L235</f>
        <v>173435.6</v>
      </c>
      <c r="M146" s="10">
        <f>M152+M157+M162+M167+M172+M190+M195+M205+M210+M200+M215+M230+M225+M235+M220+M240</f>
        <v>452451.7</v>
      </c>
      <c r="N146" s="10">
        <f>N152+N157+N162+N167+N172+N190+N195+N205+N210+N200+N215+N230+N225+N235+N220</f>
        <v>2305.8000000000002</v>
      </c>
      <c r="O146" s="10">
        <f t="shared" ref="O146:Q146" si="52">O152+O157+O162+O167+O172+O190+O195+O205+O210+O200+O215+O230+O225+O235</f>
        <v>0</v>
      </c>
      <c r="P146" s="10">
        <f t="shared" si="52"/>
        <v>0</v>
      </c>
      <c r="Q146" s="10">
        <f t="shared" si="52"/>
        <v>0</v>
      </c>
    </row>
    <row r="147" spans="1:22" ht="24.05" customHeight="1" x14ac:dyDescent="0.25">
      <c r="A147" s="162"/>
      <c r="B147" s="151"/>
      <c r="C147" s="42"/>
      <c r="D147" s="2" t="s">
        <v>19</v>
      </c>
      <c r="E147" s="3">
        <f t="shared" ref="E147:E151" si="53">SUM(F147:Q147)</f>
        <v>3747.2</v>
      </c>
      <c r="F147" s="10"/>
      <c r="G147" s="1">
        <f>G153+G158+G163+G173+G179+G185+G191+G196</f>
        <v>740</v>
      </c>
      <c r="H147" s="1">
        <f>H201+H196</f>
        <v>1419.6</v>
      </c>
      <c r="I147" s="1">
        <f t="shared" ref="I147:V147" si="54">I201+I196</f>
        <v>1587.6</v>
      </c>
      <c r="J147" s="1">
        <f>J173</f>
        <v>0</v>
      </c>
      <c r="K147" s="1">
        <f t="shared" si="54"/>
        <v>0</v>
      </c>
      <c r="L147" s="1">
        <f t="shared" si="54"/>
        <v>0</v>
      </c>
      <c r="M147" s="1">
        <f>M201+M196</f>
        <v>0</v>
      </c>
      <c r="N147" s="1">
        <f>N201+N196</f>
        <v>0</v>
      </c>
      <c r="O147" s="1">
        <f>O201+O196</f>
        <v>0</v>
      </c>
      <c r="P147" s="1">
        <f>P201+P196</f>
        <v>0</v>
      </c>
      <c r="Q147" s="1">
        <f>Q201+Q196</f>
        <v>0</v>
      </c>
      <c r="R147" s="46">
        <f t="shared" si="54"/>
        <v>0</v>
      </c>
      <c r="S147" s="1">
        <f t="shared" si="54"/>
        <v>0</v>
      </c>
      <c r="T147" s="1">
        <f t="shared" si="54"/>
        <v>0</v>
      </c>
      <c r="U147" s="1">
        <f t="shared" si="54"/>
        <v>0</v>
      </c>
      <c r="V147" s="1">
        <f t="shared" si="54"/>
        <v>0</v>
      </c>
    </row>
    <row r="148" spans="1:22" ht="24.05" customHeight="1" x14ac:dyDescent="0.25">
      <c r="A148" s="162"/>
      <c r="B148" s="151"/>
      <c r="C148" s="47"/>
      <c r="D148" s="2" t="s">
        <v>20</v>
      </c>
      <c r="E148" s="3">
        <f t="shared" si="53"/>
        <v>1259566.8</v>
      </c>
      <c r="F148" s="10"/>
      <c r="G148" s="1">
        <f>G154+G159+G164+G174+G180+G186+G192+G197</f>
        <v>13842.800000000001</v>
      </c>
      <c r="H148" s="1">
        <f>H154+H159+H164+H174+H180+H186+H192+H197+H207+H202</f>
        <v>95647.7</v>
      </c>
      <c r="I148" s="1">
        <f>I154+I159+I164+I174+I180+I186+I202+I197</f>
        <v>10474.200000000001</v>
      </c>
      <c r="J148" s="1">
        <f>J154+J159+J164+J174+J180+J186+J202+J207+J212+J197</f>
        <v>491859.80000000005</v>
      </c>
      <c r="K148" s="1">
        <f t="shared" ref="K148" si="55">K154+K159+K164+K174+K180+K186+K202+K207+K212+K197+K222+K232</f>
        <v>158023.60000000003</v>
      </c>
      <c r="L148" s="1">
        <f>L154+L159+L164+L174+L180+L186+L202+L207+L212+L197+L222+L232+L237</f>
        <v>122583.1</v>
      </c>
      <c r="M148" s="1">
        <f>M154+M159+M164+M174+M180+M186+M202+M207+M212+M197+M222+M232+M242+M247+M252</f>
        <v>367135.6</v>
      </c>
      <c r="N148" s="1">
        <f t="shared" ref="N148:Q148" si="56">N154+N159+N164+N174+N180+N186+N202+N207+N212+N197+N222+N232+N242</f>
        <v>0</v>
      </c>
      <c r="O148" s="1">
        <f t="shared" si="56"/>
        <v>0</v>
      </c>
      <c r="P148" s="1">
        <f t="shared" si="56"/>
        <v>0</v>
      </c>
      <c r="Q148" s="1">
        <f t="shared" si="56"/>
        <v>0</v>
      </c>
    </row>
    <row r="149" spans="1:22" ht="24.05" customHeight="1" x14ac:dyDescent="0.25">
      <c r="A149" s="117"/>
      <c r="B149" s="80"/>
      <c r="C149" s="47"/>
      <c r="D149" s="34" t="s">
        <v>21</v>
      </c>
      <c r="E149" s="35">
        <f t="shared" si="53"/>
        <v>595948.30000000005</v>
      </c>
      <c r="F149" s="10"/>
      <c r="G149" s="1">
        <f>G155+G160+G165+G175+G181+G187+G193+G198+G208</f>
        <v>100477.7</v>
      </c>
      <c r="H149" s="1">
        <f>H155+H160+H165+H175+H181+H187+H193+H198+H208+H213-H181</f>
        <v>135196.80000000002</v>
      </c>
      <c r="I149" s="1">
        <f>I155+I160+I165+I175+I181+I187+I193+I198+I208+I213+I203</f>
        <v>35218</v>
      </c>
      <c r="J149" s="1">
        <f>J155+J160+J165+J175+J181+J187+J193+J198+J208+J213+J203</f>
        <v>72162.299999999988</v>
      </c>
      <c r="K149" s="1">
        <f t="shared" ref="K149" si="57">K155+K160+K165+K175+K181+K187+K193+K198+K208+K213+K203+K218+K223+K228+K233</f>
        <v>110604.60000000002</v>
      </c>
      <c r="L149" s="1">
        <f>L155+L160+L165+L175+L181+L187+L193+L198+L208+L213+L203+L218+L223+L228+L233+L238</f>
        <v>50852.5</v>
      </c>
      <c r="M149" s="1">
        <f>M155+M160+M165+M175+M181+M187+M193+M198+M208+M213+M203+M218+M223+M228+M233+M243+M248+M253</f>
        <v>89130.6</v>
      </c>
      <c r="N149" s="1">
        <f>N155+N160+N165+N175+N181+N187+N193+N198+N208+N213+N203+N218+N223+N228+N233+N243</f>
        <v>2305.8000000000002</v>
      </c>
      <c r="O149" s="1">
        <f>O155+O160+O165+O175+O181+O187+O193+O198+O208+O213+O203+O218+O223+O228+O233+O243</f>
        <v>0</v>
      </c>
      <c r="P149" s="1">
        <f>P155+P160+P165+P175+P181+P187+P193+P198+P208+P213+P203+P218+P223+P228+P233+P243</f>
        <v>0</v>
      </c>
      <c r="Q149" s="1">
        <f>Q155+Q160+Q165+Q175+Q181+Q187+Q193+Q198+Q208+Q213+Q203+Q218+Q223+Q228+Q233+Q243</f>
        <v>0</v>
      </c>
    </row>
    <row r="150" spans="1:22" ht="79.2" customHeight="1" x14ac:dyDescent="0.25">
      <c r="A150" s="117"/>
      <c r="B150" s="82"/>
      <c r="C150" s="42"/>
      <c r="D150" s="34" t="s">
        <v>22</v>
      </c>
      <c r="E150" s="3">
        <f t="shared" si="53"/>
        <v>24094.2</v>
      </c>
      <c r="F150" s="10"/>
      <c r="G150" s="1">
        <f>G176+G182+G188</f>
        <v>24094.2</v>
      </c>
      <c r="H150" s="1">
        <f>H156+H161+H166+H176+H182+H188+H194+H199</f>
        <v>0</v>
      </c>
      <c r="I150" s="1">
        <f t="shared" ref="I150:Q150" si="58">I156+I161+I166+I176+I182+I188</f>
        <v>0</v>
      </c>
      <c r="J150" s="1">
        <f t="shared" si="58"/>
        <v>0</v>
      </c>
      <c r="K150" s="1">
        <f t="shared" si="58"/>
        <v>0</v>
      </c>
      <c r="L150" s="1">
        <f t="shared" si="58"/>
        <v>0</v>
      </c>
      <c r="M150" s="1">
        <f t="shared" si="58"/>
        <v>0</v>
      </c>
      <c r="N150" s="1">
        <f t="shared" si="58"/>
        <v>0</v>
      </c>
      <c r="O150" s="1">
        <f t="shared" si="58"/>
        <v>0</v>
      </c>
      <c r="P150" s="1">
        <f t="shared" si="58"/>
        <v>0</v>
      </c>
      <c r="Q150" s="1">
        <f t="shared" si="58"/>
        <v>0</v>
      </c>
    </row>
    <row r="151" spans="1:22" ht="28.5" customHeight="1" x14ac:dyDescent="0.25">
      <c r="A151" s="28"/>
      <c r="B151" s="89"/>
      <c r="C151" s="42"/>
      <c r="D151" s="2" t="s">
        <v>23</v>
      </c>
      <c r="E151" s="3">
        <f t="shared" si="53"/>
        <v>0</v>
      </c>
      <c r="F151" s="10"/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</row>
    <row r="152" spans="1:22" ht="21.8" hidden="1" customHeight="1" x14ac:dyDescent="0.25">
      <c r="A152" s="155" t="s">
        <v>59</v>
      </c>
      <c r="B152" s="149" t="s">
        <v>37</v>
      </c>
      <c r="C152" s="190" t="s">
        <v>30</v>
      </c>
      <c r="D152" s="2" t="s">
        <v>31</v>
      </c>
      <c r="E152" s="3">
        <f t="shared" ref="E152:E171" si="59">SUM(F152:M152)</f>
        <v>0</v>
      </c>
      <c r="F152" s="1">
        <f>SUM(F153:F155)</f>
        <v>0</v>
      </c>
      <c r="G152" s="1">
        <f t="shared" ref="G152:L152" si="60">SUM(G153:G155)</f>
        <v>0</v>
      </c>
      <c r="H152" s="1">
        <f t="shared" si="60"/>
        <v>0</v>
      </c>
      <c r="I152" s="1">
        <f t="shared" si="60"/>
        <v>0</v>
      </c>
      <c r="J152" s="1">
        <f t="shared" si="60"/>
        <v>0</v>
      </c>
      <c r="K152" s="1">
        <f t="shared" si="60"/>
        <v>0</v>
      </c>
      <c r="L152" s="1">
        <f t="shared" si="60"/>
        <v>0</v>
      </c>
      <c r="M152" s="1">
        <f>SUM(M153:M155)</f>
        <v>0</v>
      </c>
      <c r="N152" s="1"/>
      <c r="O152" s="1"/>
      <c r="P152" s="1"/>
      <c r="Q152" s="1"/>
    </row>
    <row r="153" spans="1:22" ht="15.75" hidden="1" customHeight="1" x14ac:dyDescent="0.25">
      <c r="A153" s="155"/>
      <c r="B153" s="149"/>
      <c r="C153" s="173"/>
      <c r="D153" s="2" t="s">
        <v>19</v>
      </c>
      <c r="E153" s="3">
        <f t="shared" si="59"/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/>
      <c r="O153" s="1"/>
      <c r="P153" s="1"/>
      <c r="Q153" s="1"/>
    </row>
    <row r="154" spans="1:22" ht="15.75" hidden="1" customHeight="1" x14ac:dyDescent="0.25">
      <c r="A154" s="155"/>
      <c r="B154" s="149"/>
      <c r="C154" s="173"/>
      <c r="D154" s="2" t="s">
        <v>20</v>
      </c>
      <c r="E154" s="3">
        <f t="shared" si="59"/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/>
      <c r="O154" s="1"/>
      <c r="P154" s="1"/>
      <c r="Q154" s="1"/>
    </row>
    <row r="155" spans="1:22" ht="18" hidden="1" customHeight="1" x14ac:dyDescent="0.25">
      <c r="A155" s="155"/>
      <c r="B155" s="149"/>
      <c r="C155" s="173"/>
      <c r="D155" s="2" t="s">
        <v>21</v>
      </c>
      <c r="E155" s="3">
        <f t="shared" si="59"/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/>
      <c r="O155" s="1"/>
      <c r="P155" s="1"/>
      <c r="Q155" s="1"/>
    </row>
    <row r="156" spans="1:22" ht="24.05" hidden="1" customHeight="1" x14ac:dyDescent="0.25">
      <c r="A156" s="160"/>
      <c r="B156" s="160"/>
      <c r="C156" s="174"/>
      <c r="D156" s="2" t="s">
        <v>23</v>
      </c>
      <c r="E156" s="3">
        <f t="shared" si="59"/>
        <v>0</v>
      </c>
      <c r="F156" s="1"/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/>
      <c r="O156" s="1"/>
      <c r="P156" s="1"/>
      <c r="Q156" s="1"/>
    </row>
    <row r="157" spans="1:22" ht="18" hidden="1" customHeight="1" x14ac:dyDescent="0.25">
      <c r="A157" s="150" t="s">
        <v>60</v>
      </c>
      <c r="B157" s="163" t="s">
        <v>61</v>
      </c>
      <c r="C157" s="190" t="s">
        <v>18</v>
      </c>
      <c r="D157" s="2" t="s">
        <v>31</v>
      </c>
      <c r="E157" s="3">
        <f t="shared" si="59"/>
        <v>0</v>
      </c>
      <c r="F157" s="1">
        <f>SUM(F158:F160)</f>
        <v>0</v>
      </c>
      <c r="G157" s="1">
        <f t="shared" ref="G157:L157" si="61">SUM(G158:G160)</f>
        <v>0</v>
      </c>
      <c r="H157" s="1">
        <f t="shared" si="61"/>
        <v>0</v>
      </c>
      <c r="I157" s="1">
        <f t="shared" si="61"/>
        <v>0</v>
      </c>
      <c r="J157" s="1">
        <f t="shared" si="61"/>
        <v>0</v>
      </c>
      <c r="K157" s="1">
        <f t="shared" si="61"/>
        <v>0</v>
      </c>
      <c r="L157" s="1">
        <f t="shared" si="61"/>
        <v>0</v>
      </c>
      <c r="M157" s="1">
        <f>SUM(M158:M160)</f>
        <v>0</v>
      </c>
      <c r="N157" s="1"/>
      <c r="O157" s="1"/>
      <c r="P157" s="1"/>
      <c r="Q157" s="1"/>
    </row>
    <row r="158" spans="1:22" ht="16.55" hidden="1" customHeight="1" x14ac:dyDescent="0.25">
      <c r="A158" s="155"/>
      <c r="B158" s="149"/>
      <c r="C158" s="173"/>
      <c r="D158" s="2" t="s">
        <v>19</v>
      </c>
      <c r="E158" s="3">
        <f t="shared" si="59"/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/>
      <c r="O158" s="1"/>
      <c r="P158" s="1"/>
      <c r="Q158" s="1"/>
    </row>
    <row r="159" spans="1:22" ht="16.55" hidden="1" customHeight="1" x14ac:dyDescent="0.25">
      <c r="A159" s="155"/>
      <c r="B159" s="149"/>
      <c r="C159" s="173"/>
      <c r="D159" s="2" t="s">
        <v>20</v>
      </c>
      <c r="E159" s="3">
        <f t="shared" si="59"/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/>
      <c r="O159" s="1"/>
      <c r="P159" s="1"/>
      <c r="Q159" s="1"/>
    </row>
    <row r="160" spans="1:22" ht="18" hidden="1" customHeight="1" x14ac:dyDescent="0.25">
      <c r="A160" s="155"/>
      <c r="B160" s="149"/>
      <c r="C160" s="173"/>
      <c r="D160" s="2" t="s">
        <v>21</v>
      </c>
      <c r="E160" s="3">
        <f t="shared" si="59"/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/>
      <c r="O160" s="1"/>
      <c r="P160" s="1"/>
      <c r="Q160" s="1"/>
    </row>
    <row r="161" spans="1:17" ht="28.5" hidden="1" customHeight="1" x14ac:dyDescent="0.25">
      <c r="A161" s="149"/>
      <c r="B161" s="149"/>
      <c r="C161" s="174"/>
      <c r="D161" s="2" t="s">
        <v>23</v>
      </c>
      <c r="E161" s="3">
        <f t="shared" si="59"/>
        <v>0</v>
      </c>
      <c r="F161" s="1"/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/>
      <c r="O161" s="1"/>
      <c r="P161" s="1"/>
      <c r="Q161" s="1"/>
    </row>
    <row r="162" spans="1:17" ht="43.2" customHeight="1" x14ac:dyDescent="0.25">
      <c r="A162" s="83" t="s">
        <v>59</v>
      </c>
      <c r="B162" s="199" t="s">
        <v>62</v>
      </c>
      <c r="C162" s="168" t="s">
        <v>18</v>
      </c>
      <c r="D162" s="2" t="s">
        <v>31</v>
      </c>
      <c r="E162" s="3">
        <f>SUM(F162:Q162)</f>
        <v>254258.3</v>
      </c>
      <c r="F162" s="1">
        <f>SUM(F163:F165)</f>
        <v>0</v>
      </c>
      <c r="G162" s="1">
        <f t="shared" ref="G162:L162" si="62">SUM(G163:G165)</f>
        <v>0</v>
      </c>
      <c r="H162" s="1">
        <f t="shared" si="62"/>
        <v>68638.399999999994</v>
      </c>
      <c r="I162" s="1">
        <f t="shared" si="62"/>
        <v>28449.1</v>
      </c>
      <c r="J162" s="1">
        <f t="shared" si="62"/>
        <v>30354.2</v>
      </c>
      <c r="K162" s="1">
        <f t="shared" si="62"/>
        <v>80928.100000000006</v>
      </c>
      <c r="L162" s="1">
        <f t="shared" si="62"/>
        <v>28071.300000000003</v>
      </c>
      <c r="M162" s="1">
        <f>SUM(M163:M165)</f>
        <v>17817.2</v>
      </c>
      <c r="N162" s="1">
        <f>SUM(N163:N165)</f>
        <v>0</v>
      </c>
      <c r="O162" s="1">
        <f>SUM(O163:O165)</f>
        <v>0</v>
      </c>
      <c r="P162" s="1">
        <f>SUM(P163:P165)</f>
        <v>0</v>
      </c>
      <c r="Q162" s="1">
        <f>SUM(Q163:Q165)</f>
        <v>0</v>
      </c>
    </row>
    <row r="163" spans="1:17" ht="22.75" customHeight="1" x14ac:dyDescent="0.25">
      <c r="A163" s="90"/>
      <c r="B163" s="179"/>
      <c r="C163" s="169"/>
      <c r="D163" s="2" t="s">
        <v>19</v>
      </c>
      <c r="E163" s="3">
        <f>SUM(F163:Q163)</f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</row>
    <row r="164" spans="1:17" ht="29.45" customHeight="1" x14ac:dyDescent="0.25">
      <c r="A164" s="90"/>
      <c r="B164" s="179"/>
      <c r="C164" s="169"/>
      <c r="D164" s="2" t="s">
        <v>20</v>
      </c>
      <c r="E164" s="3">
        <f>SUM(F164:Q164)</f>
        <v>30000</v>
      </c>
      <c r="F164" s="1">
        <v>0</v>
      </c>
      <c r="G164" s="1">
        <v>0</v>
      </c>
      <c r="H164" s="1">
        <v>20000</v>
      </c>
      <c r="I164" s="1">
        <v>10000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</row>
    <row r="165" spans="1:17" ht="27.5" customHeight="1" x14ac:dyDescent="0.25">
      <c r="A165" s="90"/>
      <c r="B165" s="98"/>
      <c r="C165" s="169"/>
      <c r="D165" s="2" t="s">
        <v>21</v>
      </c>
      <c r="E165" s="3">
        <f>SUM(F165:Q165)</f>
        <v>224258.3</v>
      </c>
      <c r="F165" s="1"/>
      <c r="G165" s="1">
        <v>0</v>
      </c>
      <c r="H165" s="1">
        <f>48496.2+189.1-46.9</f>
        <v>48638.399999999994</v>
      </c>
      <c r="I165" s="1">
        <f>4601+6061.8+1000+6786.3</f>
        <v>18449.099999999999</v>
      </c>
      <c r="J165" s="1">
        <f>27553.2+457.8+2343.2</f>
        <v>30354.2</v>
      </c>
      <c r="K165" s="1">
        <v>80928.100000000006</v>
      </c>
      <c r="L165" s="73">
        <f>26920+650+650-4000-3143.6-1223.1+8218.1-0.1</f>
        <v>28071.300000000003</v>
      </c>
      <c r="M165" s="1">
        <f>17817.2</f>
        <v>17817.2</v>
      </c>
      <c r="N165" s="1">
        <v>0</v>
      </c>
      <c r="O165" s="1">
        <v>0</v>
      </c>
      <c r="P165" s="1">
        <v>0</v>
      </c>
      <c r="Q165" s="1">
        <v>0</v>
      </c>
    </row>
    <row r="166" spans="1:17" ht="32.25" customHeight="1" x14ac:dyDescent="0.25">
      <c r="A166" s="89"/>
      <c r="B166" s="99"/>
      <c r="C166" s="170"/>
      <c r="D166" s="2" t="s">
        <v>23</v>
      </c>
      <c r="E166" s="3">
        <f>SUM(F166:Q166)</f>
        <v>0</v>
      </c>
      <c r="F166" s="1"/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</row>
    <row r="167" spans="1:17" ht="17.2" hidden="1" customHeight="1" x14ac:dyDescent="0.25">
      <c r="A167" s="153" t="s">
        <v>63</v>
      </c>
      <c r="B167" s="215" t="s">
        <v>64</v>
      </c>
      <c r="C167" s="190" t="s">
        <v>18</v>
      </c>
      <c r="D167" s="2" t="s">
        <v>31</v>
      </c>
      <c r="E167" s="3">
        <f t="shared" si="59"/>
        <v>0</v>
      </c>
      <c r="F167" s="1">
        <f>SUM(F168:F170)</f>
        <v>0</v>
      </c>
      <c r="G167" s="1">
        <f>SUM(G168:G170)</f>
        <v>0</v>
      </c>
      <c r="H167" s="1">
        <f>SUM(H168:H170)</f>
        <v>0</v>
      </c>
      <c r="I167" s="1">
        <f>SUM(I168:I170)</f>
        <v>0</v>
      </c>
      <c r="J167" s="1">
        <f>SUM(J168:J170)</f>
        <v>0</v>
      </c>
      <c r="K167" s="1">
        <v>0</v>
      </c>
      <c r="L167" s="1">
        <v>0</v>
      </c>
      <c r="M167" s="1">
        <v>0</v>
      </c>
      <c r="N167" s="1"/>
      <c r="O167" s="1"/>
      <c r="P167" s="1"/>
      <c r="Q167" s="1"/>
    </row>
    <row r="168" spans="1:17" ht="18" hidden="1" customHeight="1" x14ac:dyDescent="0.25">
      <c r="A168" s="153"/>
      <c r="B168" s="167"/>
      <c r="C168" s="173"/>
      <c r="D168" s="2" t="s">
        <v>19</v>
      </c>
      <c r="E168" s="3">
        <f t="shared" si="59"/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/>
      <c r="O168" s="1"/>
      <c r="P168" s="1"/>
      <c r="Q168" s="1"/>
    </row>
    <row r="169" spans="1:17" ht="14.25" hidden="1" customHeight="1" x14ac:dyDescent="0.25">
      <c r="A169" s="153"/>
      <c r="B169" s="167"/>
      <c r="C169" s="173"/>
      <c r="D169" s="2" t="s">
        <v>20</v>
      </c>
      <c r="E169" s="3">
        <f t="shared" si="59"/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/>
      <c r="O169" s="1"/>
      <c r="P169" s="1"/>
      <c r="Q169" s="1"/>
    </row>
    <row r="170" spans="1:17" ht="13.75" hidden="1" customHeight="1" x14ac:dyDescent="0.25">
      <c r="A170" s="153"/>
      <c r="B170" s="167"/>
      <c r="C170" s="173"/>
      <c r="D170" s="2" t="s">
        <v>21</v>
      </c>
      <c r="E170" s="3">
        <f t="shared" si="59"/>
        <v>0</v>
      </c>
      <c r="F170" s="1"/>
      <c r="G170" s="1"/>
      <c r="H170" s="1"/>
      <c r="I170" s="1"/>
      <c r="J170" s="1">
        <v>0</v>
      </c>
      <c r="K170" s="1">
        <v>0</v>
      </c>
      <c r="L170" s="1">
        <v>0</v>
      </c>
      <c r="M170" s="1">
        <v>0</v>
      </c>
      <c r="N170" s="1"/>
      <c r="O170" s="1"/>
      <c r="P170" s="1"/>
      <c r="Q170" s="1"/>
    </row>
    <row r="171" spans="1:17" ht="29.3" hidden="1" customHeight="1" x14ac:dyDescent="0.25">
      <c r="A171" s="154"/>
      <c r="B171" s="167"/>
      <c r="C171" s="174"/>
      <c r="D171" s="2" t="s">
        <v>23</v>
      </c>
      <c r="E171" s="3">
        <f t="shared" si="59"/>
        <v>0</v>
      </c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/>
      <c r="O171" s="1"/>
      <c r="P171" s="1"/>
      <c r="Q171" s="1"/>
    </row>
    <row r="172" spans="1:17" ht="29.15" customHeight="1" x14ac:dyDescent="0.25">
      <c r="A172" s="114" t="s">
        <v>60</v>
      </c>
      <c r="B172" s="199" t="s">
        <v>65</v>
      </c>
      <c r="C172" s="168" t="s">
        <v>18</v>
      </c>
      <c r="D172" s="2" t="s">
        <v>31</v>
      </c>
      <c r="E172" s="3">
        <f>SUM(F172:Q172)</f>
        <v>297018.59999999998</v>
      </c>
      <c r="F172" s="1">
        <f t="shared" ref="F172:L172" si="63">SUM(F173:F175)</f>
        <v>0</v>
      </c>
      <c r="G172" s="1">
        <f>SUM(G173:G175)</f>
        <v>113437.99999999999</v>
      </c>
      <c r="H172" s="1">
        <f t="shared" si="63"/>
        <v>161861</v>
      </c>
      <c r="I172" s="1">
        <f t="shared" si="63"/>
        <v>16343.7</v>
      </c>
      <c r="J172" s="1">
        <f t="shared" si="63"/>
        <v>5206.3</v>
      </c>
      <c r="K172" s="1">
        <f t="shared" si="63"/>
        <v>169.59999999999991</v>
      </c>
      <c r="L172" s="1">
        <f t="shared" si="63"/>
        <v>0</v>
      </c>
      <c r="M172" s="1">
        <f>SUM(M173:M175)</f>
        <v>0</v>
      </c>
      <c r="N172" s="1">
        <f>SUM(N173:N175)</f>
        <v>0</v>
      </c>
      <c r="O172" s="1">
        <f>SUM(O173:O175)</f>
        <v>0</v>
      </c>
      <c r="P172" s="1">
        <f>SUM(P173:P175)</f>
        <v>0</v>
      </c>
      <c r="Q172" s="1">
        <f>SUM(Q173:Q175)</f>
        <v>0</v>
      </c>
    </row>
    <row r="173" spans="1:17" ht="18" customHeight="1" x14ac:dyDescent="0.25">
      <c r="A173" s="109"/>
      <c r="B173" s="185"/>
      <c r="C173" s="169"/>
      <c r="D173" s="2" t="s">
        <v>19</v>
      </c>
      <c r="E173" s="3">
        <f>SUM(F173:Q173)</f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</row>
    <row r="174" spans="1:17" ht="24.9" customHeight="1" x14ac:dyDescent="0.25">
      <c r="A174" s="109"/>
      <c r="B174" s="98"/>
      <c r="C174" s="169"/>
      <c r="D174" s="2" t="s">
        <v>20</v>
      </c>
      <c r="E174" s="3">
        <f t="shared" ref="E174:E223" si="64">SUM(F174:Q174)</f>
        <v>89240</v>
      </c>
      <c r="F174" s="1">
        <v>0</v>
      </c>
      <c r="G174" s="1">
        <v>13672.7</v>
      </c>
      <c r="H174" s="1">
        <v>75567.3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</row>
    <row r="175" spans="1:17" ht="27.5" customHeight="1" x14ac:dyDescent="0.25">
      <c r="A175" s="109"/>
      <c r="B175" s="98"/>
      <c r="C175" s="169"/>
      <c r="D175" s="2" t="s">
        <v>21</v>
      </c>
      <c r="E175" s="3">
        <f t="shared" si="64"/>
        <v>207778.6</v>
      </c>
      <c r="F175" s="1">
        <v>0</v>
      </c>
      <c r="G175" s="1">
        <f>37625+387.5+846.1+2000+322.6+9300.5-387.5-322.6+49993.7</f>
        <v>99765.299999999988</v>
      </c>
      <c r="H175" s="1">
        <f>49993.7+8636.4+H181-8636.4</f>
        <v>86293.700000000012</v>
      </c>
      <c r="I175" s="1">
        <f>15000+1000+120.1+223.6</f>
        <v>16343.7</v>
      </c>
      <c r="J175" s="1">
        <v>5206.3</v>
      </c>
      <c r="K175" s="1">
        <f>32000-15000-15000-1830.4</f>
        <v>169.59999999999991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</row>
    <row r="176" spans="1:17" ht="83.15" customHeight="1" x14ac:dyDescent="0.25">
      <c r="A176" s="109"/>
      <c r="B176" s="98"/>
      <c r="C176" s="169"/>
      <c r="D176" s="72" t="s">
        <v>22</v>
      </c>
      <c r="E176" s="3">
        <f t="shared" si="64"/>
        <v>23771.600000000002</v>
      </c>
      <c r="F176" s="1"/>
      <c r="G176" s="1">
        <f>13625+846.1+322.6+9300.5-322.6</f>
        <v>23771.600000000002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</row>
    <row r="177" spans="1:17" ht="36" customHeight="1" x14ac:dyDescent="0.25">
      <c r="A177" s="109"/>
      <c r="B177" s="98"/>
      <c r="C177" s="170"/>
      <c r="D177" s="2" t="s">
        <v>23</v>
      </c>
      <c r="E177" s="3">
        <f t="shared" si="64"/>
        <v>0</v>
      </c>
      <c r="F177" s="1"/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</row>
    <row r="178" spans="1:17" ht="24.25" customHeight="1" x14ac:dyDescent="0.25">
      <c r="A178" s="122"/>
      <c r="B178" s="110" t="s">
        <v>66</v>
      </c>
      <c r="C178" s="95"/>
      <c r="D178" s="2" t="s">
        <v>31</v>
      </c>
      <c r="E178" s="3">
        <f t="shared" si="64"/>
        <v>36300</v>
      </c>
      <c r="F178" s="1"/>
      <c r="G178" s="1">
        <f t="shared" ref="G178:L178" si="65">SUM(G179:G181)+G183</f>
        <v>0</v>
      </c>
      <c r="H178" s="1">
        <f t="shared" si="65"/>
        <v>36300</v>
      </c>
      <c r="I178" s="1">
        <f t="shared" si="65"/>
        <v>0</v>
      </c>
      <c r="J178" s="1">
        <f t="shared" si="65"/>
        <v>0</v>
      </c>
      <c r="K178" s="1">
        <f t="shared" si="65"/>
        <v>0</v>
      </c>
      <c r="L178" s="1">
        <f t="shared" si="65"/>
        <v>0</v>
      </c>
      <c r="M178" s="1">
        <f>SUM(M179:M181)+M183</f>
        <v>0</v>
      </c>
      <c r="N178" s="1">
        <f>SUM(N179:N181)+N183</f>
        <v>0</v>
      </c>
      <c r="O178" s="1">
        <f>SUM(O179:O181)+O183</f>
        <v>0</v>
      </c>
      <c r="P178" s="1">
        <f>SUM(P179:P181)+P183</f>
        <v>0</v>
      </c>
      <c r="Q178" s="1">
        <f>SUM(Q179:Q181)+Q183</f>
        <v>0</v>
      </c>
    </row>
    <row r="179" spans="1:17" ht="28.15" customHeight="1" x14ac:dyDescent="0.25">
      <c r="A179" s="130"/>
      <c r="B179" s="49"/>
      <c r="C179" s="103"/>
      <c r="D179" s="2" t="s">
        <v>19</v>
      </c>
      <c r="E179" s="3">
        <f t="shared" si="64"/>
        <v>0</v>
      </c>
      <c r="F179" s="1"/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</row>
    <row r="180" spans="1:17" ht="20.95" customHeight="1" x14ac:dyDescent="0.25">
      <c r="A180" s="109"/>
      <c r="B180" s="49"/>
      <c r="C180" s="103"/>
      <c r="D180" s="2" t="s">
        <v>20</v>
      </c>
      <c r="E180" s="3">
        <f t="shared" si="64"/>
        <v>0</v>
      </c>
      <c r="F180" s="1"/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</row>
    <row r="181" spans="1:17" ht="27" customHeight="1" x14ac:dyDescent="0.25">
      <c r="A181" s="48"/>
      <c r="B181" s="192" t="s">
        <v>67</v>
      </c>
      <c r="C181" s="95"/>
      <c r="D181" s="2" t="s">
        <v>21</v>
      </c>
      <c r="E181" s="3">
        <f t="shared" si="64"/>
        <v>36300</v>
      </c>
      <c r="F181" s="1"/>
      <c r="G181" s="1">
        <v>0</v>
      </c>
      <c r="H181" s="1">
        <v>36300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</row>
    <row r="182" spans="1:17" ht="43.85" customHeight="1" x14ac:dyDescent="0.25">
      <c r="A182" s="48"/>
      <c r="B182" s="185"/>
      <c r="C182" s="96"/>
      <c r="D182" s="2" t="s">
        <v>68</v>
      </c>
      <c r="E182" s="3">
        <f t="shared" si="64"/>
        <v>0</v>
      </c>
      <c r="F182" s="1"/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ht="31.6" customHeight="1" x14ac:dyDescent="0.25">
      <c r="A183" s="50"/>
      <c r="B183" s="99"/>
      <c r="C183" s="96"/>
      <c r="D183" s="34" t="s">
        <v>23</v>
      </c>
      <c r="E183" s="35">
        <f t="shared" si="64"/>
        <v>0</v>
      </c>
      <c r="F183" s="11"/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</row>
    <row r="184" spans="1:17" ht="20.149999999999999" customHeight="1" x14ac:dyDescent="0.25">
      <c r="A184" s="90" t="s">
        <v>69</v>
      </c>
      <c r="B184" s="149" t="s">
        <v>70</v>
      </c>
      <c r="C184" s="51"/>
      <c r="D184" s="2" t="s">
        <v>31</v>
      </c>
      <c r="E184" s="3">
        <f t="shared" si="64"/>
        <v>322.60000000000002</v>
      </c>
      <c r="F184" s="11"/>
      <c r="G184" s="11">
        <f t="shared" ref="G184:L184" si="66">G185+G186+G187+G189</f>
        <v>322.60000000000002</v>
      </c>
      <c r="H184" s="11">
        <f t="shared" si="66"/>
        <v>0</v>
      </c>
      <c r="I184" s="11">
        <f t="shared" si="66"/>
        <v>0</v>
      </c>
      <c r="J184" s="11">
        <f t="shared" si="66"/>
        <v>0</v>
      </c>
      <c r="K184" s="11">
        <f t="shared" si="66"/>
        <v>0</v>
      </c>
      <c r="L184" s="11">
        <f t="shared" si="66"/>
        <v>0</v>
      </c>
      <c r="M184" s="11">
        <f>M185+M186+M187+M189</f>
        <v>0</v>
      </c>
      <c r="N184" s="11">
        <f>N185+N186+N187+N189</f>
        <v>0</v>
      </c>
      <c r="O184" s="11">
        <f>O185+O186+O187+O189</f>
        <v>0</v>
      </c>
      <c r="P184" s="11">
        <f>P185+P186+P187+P189</f>
        <v>0</v>
      </c>
      <c r="Q184" s="11">
        <f>Q185+Q186+Q187+Q189</f>
        <v>0</v>
      </c>
    </row>
    <row r="185" spans="1:17" ht="27.65" customHeight="1" x14ac:dyDescent="0.25">
      <c r="A185" s="84"/>
      <c r="B185" s="176"/>
      <c r="C185" s="96"/>
      <c r="D185" s="2" t="s">
        <v>19</v>
      </c>
      <c r="E185" s="3">
        <f t="shared" si="64"/>
        <v>0</v>
      </c>
      <c r="F185" s="1"/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ht="33.4" customHeight="1" x14ac:dyDescent="0.25">
      <c r="A186" s="84"/>
      <c r="B186" s="176"/>
      <c r="C186" s="95"/>
      <c r="D186" s="34" t="s">
        <v>20</v>
      </c>
      <c r="E186" s="3">
        <f t="shared" si="64"/>
        <v>0</v>
      </c>
      <c r="F186" s="11"/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</row>
    <row r="187" spans="1:17" ht="35.549999999999997" customHeight="1" x14ac:dyDescent="0.25">
      <c r="A187" s="84"/>
      <c r="B187" s="176"/>
      <c r="C187" s="96"/>
      <c r="D187" s="2" t="s">
        <v>21</v>
      </c>
      <c r="E187" s="3">
        <f t="shared" si="64"/>
        <v>322.60000000000002</v>
      </c>
      <c r="F187" s="1"/>
      <c r="G187" s="1">
        <v>322.60000000000002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</row>
    <row r="188" spans="1:17" ht="65" customHeight="1" x14ac:dyDescent="0.25">
      <c r="A188" s="84"/>
      <c r="B188" s="88"/>
      <c r="C188" s="95"/>
      <c r="D188" s="2" t="s">
        <v>22</v>
      </c>
      <c r="E188" s="3">
        <f t="shared" si="64"/>
        <v>322.60000000000002</v>
      </c>
      <c r="F188" s="11"/>
      <c r="G188" s="11">
        <f>G187</f>
        <v>322.60000000000002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</row>
    <row r="189" spans="1:17" ht="29" customHeight="1" x14ac:dyDescent="0.25">
      <c r="A189" s="78"/>
      <c r="B189" s="115"/>
      <c r="C189" s="96"/>
      <c r="D189" s="2" t="s">
        <v>23</v>
      </c>
      <c r="E189" s="3">
        <f t="shared" si="64"/>
        <v>0</v>
      </c>
      <c r="F189" s="1"/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</row>
    <row r="190" spans="1:17" ht="20.149999999999999" customHeight="1" x14ac:dyDescent="0.25">
      <c r="A190" s="161" t="s">
        <v>71</v>
      </c>
      <c r="B190" s="189" t="s">
        <v>72</v>
      </c>
      <c r="C190" s="168" t="s">
        <v>18</v>
      </c>
      <c r="D190" s="2" t="s">
        <v>31</v>
      </c>
      <c r="E190" s="3">
        <f t="shared" si="64"/>
        <v>1299.9000000000001</v>
      </c>
      <c r="F190" s="1">
        <f t="shared" ref="F190:L190" si="67">SUM(F191:F193)</f>
        <v>0</v>
      </c>
      <c r="G190" s="1">
        <f>SUM(G191:G193)</f>
        <v>1299.9000000000001</v>
      </c>
      <c r="H190" s="1">
        <f t="shared" si="67"/>
        <v>0</v>
      </c>
      <c r="I190" s="1">
        <f t="shared" si="67"/>
        <v>0</v>
      </c>
      <c r="J190" s="1">
        <f t="shared" si="67"/>
        <v>0</v>
      </c>
      <c r="K190" s="1">
        <f t="shared" si="67"/>
        <v>0</v>
      </c>
      <c r="L190" s="1">
        <f t="shared" si="67"/>
        <v>0</v>
      </c>
      <c r="M190" s="1">
        <f>SUM(M191:M193)</f>
        <v>0</v>
      </c>
      <c r="N190" s="1">
        <f>SUM(N191:N193)</f>
        <v>0</v>
      </c>
      <c r="O190" s="1">
        <f>SUM(O191:O193)</f>
        <v>0</v>
      </c>
      <c r="P190" s="1">
        <f>SUM(P191:P193)</f>
        <v>0</v>
      </c>
      <c r="Q190" s="1">
        <f>SUM(Q191:Q193)</f>
        <v>0</v>
      </c>
    </row>
    <row r="191" spans="1:17" ht="25.55" customHeight="1" x14ac:dyDescent="0.25">
      <c r="A191" s="162"/>
      <c r="B191" s="151"/>
      <c r="C191" s="169"/>
      <c r="D191" s="2" t="s">
        <v>19</v>
      </c>
      <c r="E191" s="3">
        <f t="shared" si="64"/>
        <v>740</v>
      </c>
      <c r="F191" s="1">
        <v>0</v>
      </c>
      <c r="G191" s="1">
        <v>740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ht="32.1" customHeight="1" x14ac:dyDescent="0.25">
      <c r="A192" s="162"/>
      <c r="B192" s="151"/>
      <c r="C192" s="169"/>
      <c r="D192" s="2" t="s">
        <v>20</v>
      </c>
      <c r="E192" s="3">
        <f t="shared" si="64"/>
        <v>170.1</v>
      </c>
      <c r="F192" s="1">
        <v>0</v>
      </c>
      <c r="G192" s="1">
        <v>170.1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ht="36" customHeight="1" x14ac:dyDescent="0.25">
      <c r="A193" s="90"/>
      <c r="B193" s="102"/>
      <c r="C193" s="169"/>
      <c r="D193" s="2" t="s">
        <v>21</v>
      </c>
      <c r="E193" s="3">
        <f t="shared" si="64"/>
        <v>389.8</v>
      </c>
      <c r="F193" s="1">
        <v>0</v>
      </c>
      <c r="G193" s="1">
        <v>389.8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ht="27.65" customHeight="1" x14ac:dyDescent="0.25">
      <c r="A194" s="28"/>
      <c r="B194" s="118"/>
      <c r="C194" s="170"/>
      <c r="D194" s="2" t="s">
        <v>23</v>
      </c>
      <c r="E194" s="3">
        <f t="shared" si="64"/>
        <v>0</v>
      </c>
      <c r="F194" s="1"/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ht="26.2" customHeight="1" x14ac:dyDescent="0.25">
      <c r="A195" s="155" t="s">
        <v>73</v>
      </c>
      <c r="B195" s="184" t="s">
        <v>185</v>
      </c>
      <c r="C195" s="33"/>
      <c r="D195" s="2" t="s">
        <v>31</v>
      </c>
      <c r="E195" s="3">
        <f t="shared" si="64"/>
        <v>8824.7000000000007</v>
      </c>
      <c r="F195" s="1">
        <f t="shared" ref="F195:L195" si="68">SUM(F196:F198)</f>
        <v>0</v>
      </c>
      <c r="G195" s="1">
        <f>SUM(G196:G198)</f>
        <v>0</v>
      </c>
      <c r="H195" s="1">
        <f t="shared" si="68"/>
        <v>1764.7</v>
      </c>
      <c r="I195" s="1">
        <f t="shared" si="68"/>
        <v>2486.9999999999995</v>
      </c>
      <c r="J195" s="1">
        <f t="shared" si="68"/>
        <v>1800</v>
      </c>
      <c r="K195" s="1">
        <f t="shared" si="68"/>
        <v>2773</v>
      </c>
      <c r="L195" s="1">
        <f t="shared" si="68"/>
        <v>0</v>
      </c>
      <c r="M195" s="1">
        <f>SUM(M196:M198)</f>
        <v>0</v>
      </c>
      <c r="N195" s="1">
        <f>SUM(N196:N198)</f>
        <v>0</v>
      </c>
      <c r="O195" s="1">
        <f>SUM(O196:O198)</f>
        <v>0</v>
      </c>
      <c r="P195" s="1">
        <f>SUM(P196:P198)</f>
        <v>0</v>
      </c>
      <c r="Q195" s="1">
        <f>SUM(Q196:Q198)</f>
        <v>0</v>
      </c>
    </row>
    <row r="196" spans="1:17" ht="26.2" customHeight="1" x14ac:dyDescent="0.25">
      <c r="A196" s="155"/>
      <c r="B196" s="185"/>
      <c r="C196" s="103"/>
      <c r="D196" s="2" t="s">
        <v>19</v>
      </c>
      <c r="E196" s="3">
        <f t="shared" si="64"/>
        <v>3007.2</v>
      </c>
      <c r="F196" s="1">
        <v>0</v>
      </c>
      <c r="G196" s="1">
        <v>0</v>
      </c>
      <c r="H196" s="1">
        <v>1419.6</v>
      </c>
      <c r="I196" s="1">
        <v>1587.6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ht="26.85" customHeight="1" x14ac:dyDescent="0.25">
      <c r="A197" s="155"/>
      <c r="B197" s="185"/>
      <c r="C197" s="103"/>
      <c r="D197" s="2" t="s">
        <v>20</v>
      </c>
      <c r="E197" s="3">
        <f t="shared" si="64"/>
        <v>4628.2</v>
      </c>
      <c r="F197" s="1">
        <v>0</v>
      </c>
      <c r="G197" s="1">
        <v>0</v>
      </c>
      <c r="H197" s="1">
        <v>80.400000000000006</v>
      </c>
      <c r="I197" s="1">
        <v>474.2</v>
      </c>
      <c r="J197" s="1">
        <v>1577.9</v>
      </c>
      <c r="K197" s="1">
        <f>1350+1145.7</f>
        <v>2495.6999999999998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ht="27.65" customHeight="1" x14ac:dyDescent="0.25">
      <c r="A198" s="155"/>
      <c r="B198" s="185"/>
      <c r="C198" s="103"/>
      <c r="D198" s="2" t="s">
        <v>21</v>
      </c>
      <c r="E198" s="3">
        <f t="shared" si="64"/>
        <v>1189.3</v>
      </c>
      <c r="F198" s="1">
        <v>0</v>
      </c>
      <c r="G198" s="1">
        <v>0</v>
      </c>
      <c r="H198" s="1">
        <v>264.7</v>
      </c>
      <c r="I198" s="1">
        <v>425.2</v>
      </c>
      <c r="J198" s="1">
        <v>222.1</v>
      </c>
      <c r="K198" s="1">
        <f>277.3</f>
        <v>277.3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ht="29.45" customHeight="1" x14ac:dyDescent="0.25">
      <c r="A199" s="160"/>
      <c r="B199" s="186"/>
      <c r="C199" s="104"/>
      <c r="D199" s="2" t="s">
        <v>23</v>
      </c>
      <c r="E199" s="3">
        <f t="shared" si="64"/>
        <v>0</v>
      </c>
      <c r="F199" s="1"/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ht="24.25" customHeight="1" x14ac:dyDescent="0.25">
      <c r="A200" s="204" t="s">
        <v>74</v>
      </c>
      <c r="B200" s="183" t="s">
        <v>177</v>
      </c>
      <c r="C200" s="51"/>
      <c r="D200" s="2" t="s">
        <v>31</v>
      </c>
      <c r="E200" s="3">
        <f t="shared" si="64"/>
        <v>22443</v>
      </c>
      <c r="F200" s="1"/>
      <c r="G200" s="1">
        <f t="shared" ref="G200:L200" si="69">SUM(G201:G204)</f>
        <v>0</v>
      </c>
      <c r="H200" s="1">
        <f t="shared" si="69"/>
        <v>0</v>
      </c>
      <c r="I200" s="1">
        <f>SUM(I201:I204)</f>
        <v>0</v>
      </c>
      <c r="J200" s="1">
        <f t="shared" si="69"/>
        <v>12040</v>
      </c>
      <c r="K200" s="1">
        <f t="shared" si="69"/>
        <v>10403</v>
      </c>
      <c r="L200" s="1">
        <f t="shared" si="69"/>
        <v>0</v>
      </c>
      <c r="M200" s="1">
        <f>SUM(M201:M204)</f>
        <v>0</v>
      </c>
      <c r="N200" s="1">
        <f>SUM(N201:N204)</f>
        <v>0</v>
      </c>
      <c r="O200" s="1">
        <f>SUM(O201:O204)</f>
        <v>0</v>
      </c>
      <c r="P200" s="1">
        <f>SUM(P201:P204)</f>
        <v>0</v>
      </c>
      <c r="Q200" s="1">
        <f>SUM(Q201:Q204)</f>
        <v>0</v>
      </c>
    </row>
    <row r="201" spans="1:17" ht="26.2" customHeight="1" x14ac:dyDescent="0.25">
      <c r="A201" s="162"/>
      <c r="B201" s="179"/>
      <c r="C201" s="95"/>
      <c r="D201" s="2" t="s">
        <v>19</v>
      </c>
      <c r="E201" s="3">
        <f t="shared" si="64"/>
        <v>0</v>
      </c>
      <c r="F201" s="1"/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ht="24.9" customHeight="1" x14ac:dyDescent="0.25">
      <c r="A202" s="162"/>
      <c r="B202" s="179"/>
      <c r="C202" s="95"/>
      <c r="D202" s="2" t="s">
        <v>20</v>
      </c>
      <c r="E202" s="3">
        <f t="shared" si="64"/>
        <v>0</v>
      </c>
      <c r="F202" s="1"/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</row>
    <row r="203" spans="1:17" ht="26.2" customHeight="1" x14ac:dyDescent="0.25">
      <c r="A203" s="162"/>
      <c r="B203" s="179"/>
      <c r="C203" s="96"/>
      <c r="D203" s="2" t="s">
        <v>21</v>
      </c>
      <c r="E203" s="3">
        <f t="shared" si="64"/>
        <v>22443</v>
      </c>
      <c r="F203" s="1"/>
      <c r="G203" s="1">
        <v>0</v>
      </c>
      <c r="H203" s="1">
        <v>0</v>
      </c>
      <c r="I203" s="1">
        <v>0</v>
      </c>
      <c r="J203" s="1">
        <f>21464.3-9674.3+1100-900+50</f>
        <v>12040</v>
      </c>
      <c r="K203" s="1">
        <v>10403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</row>
    <row r="204" spans="1:17" ht="29.45" customHeight="1" x14ac:dyDescent="0.25">
      <c r="A204" s="38"/>
      <c r="B204" s="98"/>
      <c r="C204" s="52"/>
      <c r="D204" s="2" t="s">
        <v>23</v>
      </c>
      <c r="E204" s="3">
        <f t="shared" si="64"/>
        <v>0</v>
      </c>
      <c r="F204" s="1"/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</row>
    <row r="205" spans="1:17" ht="22.95" customHeight="1" x14ac:dyDescent="0.25">
      <c r="A205" s="83" t="s">
        <v>75</v>
      </c>
      <c r="B205" s="192" t="s">
        <v>76</v>
      </c>
      <c r="C205" s="168" t="s">
        <v>77</v>
      </c>
      <c r="D205" s="2" t="s">
        <v>31</v>
      </c>
      <c r="E205" s="3">
        <f t="shared" si="64"/>
        <v>410787.39999999997</v>
      </c>
      <c r="F205" s="1">
        <f t="shared" ref="F205:L205" si="70">SUM(F206:F208)</f>
        <v>0</v>
      </c>
      <c r="G205" s="1">
        <f t="shared" si="70"/>
        <v>0</v>
      </c>
      <c r="H205" s="1">
        <f t="shared" si="70"/>
        <v>0</v>
      </c>
      <c r="I205" s="1">
        <f t="shared" si="70"/>
        <v>0</v>
      </c>
      <c r="J205" s="1">
        <f t="shared" si="70"/>
        <v>352849.89999999997</v>
      </c>
      <c r="K205" s="1">
        <f t="shared" si="70"/>
        <v>57937.5</v>
      </c>
      <c r="L205" s="1">
        <f t="shared" si="70"/>
        <v>0</v>
      </c>
      <c r="M205" s="1">
        <f>SUM(M206:M208)</f>
        <v>0</v>
      </c>
      <c r="N205" s="1">
        <f>SUM(N206:N208)</f>
        <v>0</v>
      </c>
      <c r="O205" s="1">
        <f>SUM(O206:O208)</f>
        <v>0</v>
      </c>
      <c r="P205" s="1">
        <f>SUM(P206:P208)</f>
        <v>0</v>
      </c>
      <c r="Q205" s="1">
        <f>SUM(Q206:Q208)</f>
        <v>0</v>
      </c>
    </row>
    <row r="206" spans="1:17" ht="22.95" customHeight="1" x14ac:dyDescent="0.25">
      <c r="A206" s="90"/>
      <c r="B206" s="195"/>
      <c r="C206" s="187"/>
      <c r="D206" s="2" t="s">
        <v>19</v>
      </c>
      <c r="E206" s="3">
        <f t="shared" si="64"/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</row>
    <row r="207" spans="1:17" ht="29.45" customHeight="1" x14ac:dyDescent="0.25">
      <c r="A207" s="90"/>
      <c r="B207" s="109"/>
      <c r="C207" s="187"/>
      <c r="D207" s="2" t="s">
        <v>20</v>
      </c>
      <c r="E207" s="3">
        <f t="shared" si="64"/>
        <v>390247.8</v>
      </c>
      <c r="F207" s="1">
        <v>0</v>
      </c>
      <c r="G207" s="1">
        <v>0</v>
      </c>
      <c r="H207" s="1">
        <v>0</v>
      </c>
      <c r="I207" s="1">
        <v>0</v>
      </c>
      <c r="J207" s="1">
        <v>335207.3</v>
      </c>
      <c r="K207" s="1">
        <v>55040.5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</row>
    <row r="208" spans="1:17" ht="27.5" customHeight="1" x14ac:dyDescent="0.25">
      <c r="A208" s="90"/>
      <c r="B208" s="109"/>
      <c r="C208" s="187"/>
      <c r="D208" s="2" t="s">
        <v>21</v>
      </c>
      <c r="E208" s="3">
        <f t="shared" si="64"/>
        <v>20539.599999999999</v>
      </c>
      <c r="F208" s="1"/>
      <c r="G208" s="1">
        <v>0</v>
      </c>
      <c r="H208" s="1">
        <v>0</v>
      </c>
      <c r="I208" s="1">
        <v>0</v>
      </c>
      <c r="J208" s="1">
        <v>17642.599999999999</v>
      </c>
      <c r="K208" s="1">
        <v>2897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</row>
    <row r="209" spans="1:17" ht="25.55" customHeight="1" x14ac:dyDescent="0.25">
      <c r="A209" s="38"/>
      <c r="B209" s="109"/>
      <c r="C209" s="188"/>
      <c r="D209" s="2" t="s">
        <v>23</v>
      </c>
      <c r="E209" s="3">
        <f t="shared" si="64"/>
        <v>0</v>
      </c>
      <c r="F209" s="1"/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</row>
    <row r="210" spans="1:17" ht="25.55" customHeight="1" x14ac:dyDescent="0.25">
      <c r="A210" s="114" t="s">
        <v>124</v>
      </c>
      <c r="B210" s="192" t="s">
        <v>125</v>
      </c>
      <c r="C210" s="168" t="s">
        <v>77</v>
      </c>
      <c r="D210" s="2" t="s">
        <v>31</v>
      </c>
      <c r="E210" s="3">
        <f t="shared" si="64"/>
        <v>265451.7</v>
      </c>
      <c r="F210" s="1">
        <f t="shared" ref="F210:L210" si="71">SUM(F211:F213)</f>
        <v>0</v>
      </c>
      <c r="G210" s="1">
        <f t="shared" si="71"/>
        <v>0</v>
      </c>
      <c r="H210" s="1">
        <f t="shared" si="71"/>
        <v>0</v>
      </c>
      <c r="I210" s="1">
        <f t="shared" si="71"/>
        <v>0</v>
      </c>
      <c r="J210" s="1">
        <f t="shared" si="71"/>
        <v>161771.70000000001</v>
      </c>
      <c r="K210" s="1">
        <f t="shared" si="71"/>
        <v>103680</v>
      </c>
      <c r="L210" s="1">
        <f t="shared" si="71"/>
        <v>0</v>
      </c>
      <c r="M210" s="1">
        <f>SUM(M211:M213)</f>
        <v>0</v>
      </c>
      <c r="N210" s="1">
        <f>SUM(N211:N213)</f>
        <v>0</v>
      </c>
      <c r="O210" s="1">
        <f>SUM(O211:O213)</f>
        <v>0</v>
      </c>
      <c r="P210" s="1">
        <f>SUM(P211:P213)</f>
        <v>0</v>
      </c>
      <c r="Q210" s="1">
        <f>SUM(Q211:Q213)</f>
        <v>0</v>
      </c>
    </row>
    <row r="211" spans="1:17" ht="24.25" customHeight="1" x14ac:dyDescent="0.25">
      <c r="A211" s="87"/>
      <c r="B211" s="195"/>
      <c r="C211" s="187"/>
      <c r="D211" s="2" t="s">
        <v>19</v>
      </c>
      <c r="E211" s="3">
        <f t="shared" si="64"/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</row>
    <row r="212" spans="1:17" ht="26.85" customHeight="1" x14ac:dyDescent="0.25">
      <c r="A212" s="87"/>
      <c r="B212" s="195"/>
      <c r="C212" s="187"/>
      <c r="D212" s="2" t="s">
        <v>20</v>
      </c>
      <c r="E212" s="3">
        <f t="shared" si="64"/>
        <v>250395.8</v>
      </c>
      <c r="F212" s="1">
        <v>0</v>
      </c>
      <c r="G212" s="1">
        <v>0</v>
      </c>
      <c r="H212" s="1">
        <v>0</v>
      </c>
      <c r="I212" s="1">
        <v>0</v>
      </c>
      <c r="J212" s="1">
        <v>155074.6</v>
      </c>
      <c r="K212" s="1">
        <v>95321.2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</row>
    <row r="213" spans="1:17" ht="26.85" customHeight="1" x14ac:dyDescent="0.25">
      <c r="A213" s="87"/>
      <c r="B213" s="195"/>
      <c r="C213" s="187"/>
      <c r="D213" s="2" t="s">
        <v>21</v>
      </c>
      <c r="E213" s="3">
        <f t="shared" si="64"/>
        <v>15055.9</v>
      </c>
      <c r="F213" s="1"/>
      <c r="G213" s="1">
        <v>0</v>
      </c>
      <c r="H213" s="1"/>
      <c r="I213" s="1">
        <v>0</v>
      </c>
      <c r="J213" s="1">
        <v>6697.1</v>
      </c>
      <c r="K213" s="1">
        <v>8358.7999999999993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</row>
    <row r="214" spans="1:17" ht="33.75" customHeight="1" x14ac:dyDescent="0.25">
      <c r="A214" s="89"/>
      <c r="B214" s="122"/>
      <c r="C214" s="188"/>
      <c r="D214" s="2" t="s">
        <v>23</v>
      </c>
      <c r="E214" s="3">
        <f t="shared" si="64"/>
        <v>0</v>
      </c>
      <c r="F214" s="1"/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</row>
    <row r="215" spans="1:17" ht="20.149999999999999" customHeight="1" x14ac:dyDescent="0.25">
      <c r="A215" s="83" t="s">
        <v>127</v>
      </c>
      <c r="B215" s="163" t="s">
        <v>129</v>
      </c>
      <c r="C215" s="100"/>
      <c r="D215" s="2" t="s">
        <v>31</v>
      </c>
      <c r="E215" s="3">
        <f t="shared" si="64"/>
        <v>24147.3</v>
      </c>
      <c r="F215" s="1">
        <f t="shared" ref="F215:Q215" si="72">SUM(F216:F218)</f>
        <v>0</v>
      </c>
      <c r="G215" s="1">
        <f t="shared" si="72"/>
        <v>0</v>
      </c>
      <c r="H215" s="1">
        <f t="shared" si="72"/>
        <v>0</v>
      </c>
      <c r="I215" s="1">
        <f t="shared" si="72"/>
        <v>0</v>
      </c>
      <c r="J215" s="1">
        <f t="shared" si="72"/>
        <v>0</v>
      </c>
      <c r="K215" s="1">
        <f t="shared" si="72"/>
        <v>2591.1</v>
      </c>
      <c r="L215" s="1">
        <f t="shared" si="72"/>
        <v>9050.2000000000007</v>
      </c>
      <c r="M215" s="1">
        <f t="shared" si="72"/>
        <v>10200.200000000001</v>
      </c>
      <c r="N215" s="1">
        <f t="shared" si="72"/>
        <v>2305.8000000000002</v>
      </c>
      <c r="O215" s="1">
        <f t="shared" si="72"/>
        <v>0</v>
      </c>
      <c r="P215" s="1">
        <f t="shared" si="72"/>
        <v>0</v>
      </c>
      <c r="Q215" s="1">
        <f t="shared" si="72"/>
        <v>0</v>
      </c>
    </row>
    <row r="216" spans="1:17" ht="26.2" customHeight="1" x14ac:dyDescent="0.25">
      <c r="A216" s="90"/>
      <c r="B216" s="176"/>
      <c r="C216" s="100"/>
      <c r="D216" s="2" t="s">
        <v>19</v>
      </c>
      <c r="E216" s="3">
        <f t="shared" si="64"/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</row>
    <row r="217" spans="1:17" ht="26.85" customHeight="1" x14ac:dyDescent="0.25">
      <c r="A217" s="90"/>
      <c r="B217" s="176"/>
      <c r="C217" s="100"/>
      <c r="D217" s="2" t="s">
        <v>20</v>
      </c>
      <c r="E217" s="3">
        <f t="shared" si="64"/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</row>
    <row r="218" spans="1:17" ht="26.2" customHeight="1" x14ac:dyDescent="0.25">
      <c r="A218" s="90"/>
      <c r="B218" s="176"/>
      <c r="C218" s="100"/>
      <c r="D218" s="2" t="s">
        <v>21</v>
      </c>
      <c r="E218" s="3">
        <f t="shared" si="64"/>
        <v>24147.3</v>
      </c>
      <c r="F218" s="1"/>
      <c r="G218" s="1">
        <v>0</v>
      </c>
      <c r="H218" s="1"/>
      <c r="I218" s="1">
        <v>0</v>
      </c>
      <c r="J218" s="1">
        <v>0</v>
      </c>
      <c r="K218" s="1">
        <v>2591.1</v>
      </c>
      <c r="L218" s="1">
        <v>9050.2000000000007</v>
      </c>
      <c r="M218" s="1">
        <f>1921.5+8278.7</f>
        <v>10200.200000000001</v>
      </c>
      <c r="N218" s="1">
        <v>2305.8000000000002</v>
      </c>
      <c r="O218" s="1">
        <v>0</v>
      </c>
      <c r="P218" s="1">
        <v>0</v>
      </c>
      <c r="Q218" s="1">
        <v>0</v>
      </c>
    </row>
    <row r="219" spans="1:17" ht="31.75" customHeight="1" x14ac:dyDescent="0.25">
      <c r="A219" s="131"/>
      <c r="B219" s="77"/>
      <c r="C219" s="100"/>
      <c r="D219" s="2" t="s">
        <v>23</v>
      </c>
      <c r="E219" s="3">
        <f t="shared" si="64"/>
        <v>0</v>
      </c>
      <c r="F219" s="1"/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</row>
    <row r="220" spans="1:17" ht="20.149999999999999" customHeight="1" x14ac:dyDescent="0.25">
      <c r="A220" s="161" t="s">
        <v>135</v>
      </c>
      <c r="B220" s="149" t="s">
        <v>136</v>
      </c>
      <c r="C220" s="101"/>
      <c r="D220" s="2" t="s">
        <v>31</v>
      </c>
      <c r="E220" s="3">
        <f t="shared" si="64"/>
        <v>322383</v>
      </c>
      <c r="F220" s="1">
        <f t="shared" ref="F220:Q220" si="73">SUM(F221:F223)</f>
        <v>0</v>
      </c>
      <c r="G220" s="1">
        <f t="shared" si="73"/>
        <v>0</v>
      </c>
      <c r="H220" s="1">
        <f t="shared" si="73"/>
        <v>0</v>
      </c>
      <c r="I220" s="1">
        <f t="shared" si="73"/>
        <v>0</v>
      </c>
      <c r="J220" s="1">
        <f t="shared" si="73"/>
        <v>0</v>
      </c>
      <c r="K220" s="1">
        <f t="shared" si="73"/>
        <v>3936.7</v>
      </c>
      <c r="L220" s="1">
        <f t="shared" si="73"/>
        <v>66714.5</v>
      </c>
      <c r="M220" s="10">
        <f t="shared" si="73"/>
        <v>251731.80000000002</v>
      </c>
      <c r="N220" s="1">
        <f t="shared" si="73"/>
        <v>0</v>
      </c>
      <c r="O220" s="1">
        <f t="shared" si="73"/>
        <v>0</v>
      </c>
      <c r="P220" s="1">
        <f t="shared" si="73"/>
        <v>0</v>
      </c>
      <c r="Q220" s="1">
        <f t="shared" si="73"/>
        <v>0</v>
      </c>
    </row>
    <row r="221" spans="1:17" ht="25.55" customHeight="1" x14ac:dyDescent="0.25">
      <c r="A221" s="162"/>
      <c r="B221" s="149"/>
      <c r="C221" s="101"/>
      <c r="D221" s="34" t="s">
        <v>19</v>
      </c>
      <c r="E221" s="3">
        <f t="shared" si="64"/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</row>
    <row r="222" spans="1:17" ht="26.2" customHeight="1" x14ac:dyDescent="0.25">
      <c r="A222" s="53"/>
      <c r="B222" s="109"/>
      <c r="C222" s="101"/>
      <c r="D222" s="2" t="s">
        <v>20</v>
      </c>
      <c r="E222" s="3">
        <f t="shared" si="64"/>
        <v>302882.5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3543</v>
      </c>
      <c r="L222" s="1">
        <f>62711.6+13973.5-13973.5</f>
        <v>62711.600000000006</v>
      </c>
      <c r="M222" s="1">
        <f>190766.2+45861.7</f>
        <v>236627.90000000002</v>
      </c>
      <c r="N222" s="1">
        <v>0</v>
      </c>
      <c r="O222" s="1">
        <v>0</v>
      </c>
      <c r="P222" s="1">
        <v>0</v>
      </c>
      <c r="Q222" s="1">
        <v>0</v>
      </c>
    </row>
    <row r="223" spans="1:17" ht="26.85" customHeight="1" x14ac:dyDescent="0.25">
      <c r="A223" s="90"/>
      <c r="B223" s="109"/>
      <c r="C223" s="101"/>
      <c r="D223" s="2" t="s">
        <v>21</v>
      </c>
      <c r="E223" s="3">
        <f t="shared" si="64"/>
        <v>19500.5</v>
      </c>
      <c r="F223" s="11"/>
      <c r="G223" s="11">
        <v>0</v>
      </c>
      <c r="H223" s="11"/>
      <c r="I223" s="11">
        <v>0</v>
      </c>
      <c r="J223" s="11">
        <v>0</v>
      </c>
      <c r="K223" s="11">
        <v>393.7</v>
      </c>
      <c r="L223" s="11">
        <f>4002.9+891.9-891.9</f>
        <v>4002.9</v>
      </c>
      <c r="M223" s="11">
        <f>12176.6-0.1+2927.4</f>
        <v>15103.9</v>
      </c>
      <c r="N223" s="11">
        <v>0</v>
      </c>
      <c r="O223" s="11">
        <v>0</v>
      </c>
      <c r="P223" s="11">
        <v>0</v>
      </c>
      <c r="Q223" s="11">
        <v>0</v>
      </c>
    </row>
    <row r="224" spans="1:17" ht="33.75" customHeight="1" x14ac:dyDescent="0.25">
      <c r="A224" s="28"/>
      <c r="B224" s="122"/>
      <c r="C224" s="101"/>
      <c r="D224" s="34" t="s">
        <v>23</v>
      </c>
      <c r="E224" s="3">
        <f t="shared" ref="E224:E234" si="74">SUM(F224:Q224)</f>
        <v>0</v>
      </c>
      <c r="F224" s="1"/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</row>
    <row r="225" spans="1:17" ht="20.149999999999999" customHeight="1" x14ac:dyDescent="0.25">
      <c r="A225" s="155" t="s">
        <v>151</v>
      </c>
      <c r="B225" s="167" t="s">
        <v>164</v>
      </c>
      <c r="C225" s="126"/>
      <c r="D225" s="34" t="s">
        <v>31</v>
      </c>
      <c r="E225" s="35">
        <f t="shared" si="74"/>
        <v>18439.599999999999</v>
      </c>
      <c r="F225" s="11">
        <f t="shared" ref="F225:Q225" si="75">SUM(F226:F228)</f>
        <v>0</v>
      </c>
      <c r="G225" s="11">
        <f t="shared" si="75"/>
        <v>0</v>
      </c>
      <c r="H225" s="11">
        <f t="shared" si="75"/>
        <v>0</v>
      </c>
      <c r="I225" s="11">
        <f t="shared" si="75"/>
        <v>0</v>
      </c>
      <c r="J225" s="11">
        <f t="shared" si="75"/>
        <v>0</v>
      </c>
      <c r="K225" s="11">
        <f t="shared" si="75"/>
        <v>4500.6000000000004</v>
      </c>
      <c r="L225" s="11">
        <f t="shared" si="75"/>
        <v>5795.0999999999995</v>
      </c>
      <c r="M225" s="11">
        <f t="shared" si="75"/>
        <v>8143.9</v>
      </c>
      <c r="N225" s="11">
        <f t="shared" si="75"/>
        <v>0</v>
      </c>
      <c r="O225" s="11">
        <f t="shared" si="75"/>
        <v>0</v>
      </c>
      <c r="P225" s="11">
        <f t="shared" si="75"/>
        <v>0</v>
      </c>
      <c r="Q225" s="11">
        <f t="shared" si="75"/>
        <v>0</v>
      </c>
    </row>
    <row r="226" spans="1:17" ht="25.55" customHeight="1" x14ac:dyDescent="0.25">
      <c r="A226" s="155"/>
      <c r="B226" s="195"/>
      <c r="C226" s="126"/>
      <c r="D226" s="2" t="s">
        <v>19</v>
      </c>
      <c r="E226" s="3">
        <f t="shared" si="74"/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</row>
    <row r="227" spans="1:17" ht="26.2" customHeight="1" x14ac:dyDescent="0.25">
      <c r="A227" s="155"/>
      <c r="B227" s="195"/>
      <c r="C227" s="126"/>
      <c r="D227" s="2" t="s">
        <v>20</v>
      </c>
      <c r="E227" s="3">
        <f t="shared" si="74"/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</row>
    <row r="228" spans="1:17" ht="25.55" customHeight="1" x14ac:dyDescent="0.25">
      <c r="A228" s="155"/>
      <c r="B228" s="195"/>
      <c r="C228" s="126"/>
      <c r="D228" s="2" t="s">
        <v>21</v>
      </c>
      <c r="E228" s="3">
        <f t="shared" si="74"/>
        <v>18439.599999999999</v>
      </c>
      <c r="F228" s="1"/>
      <c r="G228" s="1">
        <v>0</v>
      </c>
      <c r="H228" s="1">
        <v>0</v>
      </c>
      <c r="I228" s="1">
        <v>0</v>
      </c>
      <c r="J228" s="1">
        <v>0</v>
      </c>
      <c r="K228" s="1">
        <v>4500.6000000000004</v>
      </c>
      <c r="L228" s="1">
        <f>5758.4+36.7</f>
        <v>5795.0999999999995</v>
      </c>
      <c r="M228" s="1">
        <f>8143.9</f>
        <v>8143.9</v>
      </c>
      <c r="N228" s="1">
        <v>0</v>
      </c>
      <c r="O228" s="1">
        <v>0</v>
      </c>
      <c r="P228" s="1">
        <v>0</v>
      </c>
      <c r="Q228" s="1">
        <v>0</v>
      </c>
    </row>
    <row r="229" spans="1:17" ht="36" customHeight="1" x14ac:dyDescent="0.25">
      <c r="A229" s="149"/>
      <c r="B229" s="109"/>
      <c r="C229" s="116"/>
      <c r="D229" s="2" t="s">
        <v>23</v>
      </c>
      <c r="E229" s="3">
        <f t="shared" si="74"/>
        <v>0</v>
      </c>
      <c r="F229" s="1"/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</row>
    <row r="230" spans="1:17" ht="36" customHeight="1" x14ac:dyDescent="0.25">
      <c r="A230" s="83" t="s">
        <v>152</v>
      </c>
      <c r="B230" s="106" t="s">
        <v>153</v>
      </c>
      <c r="C230" s="100"/>
      <c r="D230" s="34" t="s">
        <v>31</v>
      </c>
      <c r="E230" s="3">
        <f t="shared" si="74"/>
        <v>95462.2</v>
      </c>
      <c r="F230" s="1">
        <f t="shared" ref="F230:Q230" si="76">SUM(F231:F233)</f>
        <v>0</v>
      </c>
      <c r="G230" s="1">
        <f t="shared" si="76"/>
        <v>0</v>
      </c>
      <c r="H230" s="1">
        <f t="shared" si="76"/>
        <v>0</v>
      </c>
      <c r="I230" s="1">
        <f t="shared" si="76"/>
        <v>0</v>
      </c>
      <c r="J230" s="1">
        <f t="shared" si="76"/>
        <v>0</v>
      </c>
      <c r="K230" s="1">
        <f t="shared" si="76"/>
        <v>1708.6000000000001</v>
      </c>
      <c r="L230" s="1">
        <f t="shared" si="76"/>
        <v>63804.5</v>
      </c>
      <c r="M230" s="10">
        <f t="shared" si="76"/>
        <v>29949.100000000002</v>
      </c>
      <c r="N230" s="1">
        <f t="shared" si="76"/>
        <v>0</v>
      </c>
      <c r="O230" s="1">
        <f t="shared" si="76"/>
        <v>0</v>
      </c>
      <c r="P230" s="1">
        <f t="shared" si="76"/>
        <v>0</v>
      </c>
      <c r="Q230" s="1">
        <f t="shared" si="76"/>
        <v>0</v>
      </c>
    </row>
    <row r="231" spans="1:17" ht="24.9" customHeight="1" x14ac:dyDescent="0.25">
      <c r="A231" s="75"/>
      <c r="B231" s="87"/>
      <c r="C231" s="101"/>
      <c r="D231" s="2" t="s">
        <v>19</v>
      </c>
      <c r="E231" s="3">
        <f t="shared" si="74"/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</row>
    <row r="232" spans="1:17" ht="26.85" customHeight="1" x14ac:dyDescent="0.25">
      <c r="A232" s="90"/>
      <c r="B232" s="109"/>
      <c r="C232" s="100"/>
      <c r="D232" s="34" t="s">
        <v>20</v>
      </c>
      <c r="E232" s="3">
        <f t="shared" si="74"/>
        <v>89646.9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1623.2</v>
      </c>
      <c r="L232" s="1">
        <f>6225.9+26301.1+27344.5</f>
        <v>59871.5</v>
      </c>
      <c r="M232" s="1">
        <v>28152.2</v>
      </c>
      <c r="N232" s="1">
        <v>0</v>
      </c>
      <c r="O232" s="1">
        <v>0</v>
      </c>
      <c r="P232" s="1">
        <v>0</v>
      </c>
      <c r="Q232" s="1">
        <v>0</v>
      </c>
    </row>
    <row r="233" spans="1:17" ht="27.65" customHeight="1" x14ac:dyDescent="0.25">
      <c r="A233" s="90"/>
      <c r="B233" s="109"/>
      <c r="C233" s="100"/>
      <c r="D233" s="2" t="s">
        <v>21</v>
      </c>
      <c r="E233" s="3">
        <f t="shared" si="74"/>
        <v>5815.3</v>
      </c>
      <c r="F233" s="1"/>
      <c r="G233" s="1">
        <v>0</v>
      </c>
      <c r="H233" s="1"/>
      <c r="I233" s="1">
        <v>0</v>
      </c>
      <c r="J233" s="1">
        <v>0</v>
      </c>
      <c r="K233" s="1">
        <v>85.4</v>
      </c>
      <c r="L233" s="1">
        <f>397.4+1678.8+1856.8</f>
        <v>3933</v>
      </c>
      <c r="M233" s="1">
        <v>1796.9</v>
      </c>
      <c r="N233" s="1">
        <v>0</v>
      </c>
      <c r="O233" s="1">
        <v>0</v>
      </c>
      <c r="P233" s="1">
        <v>0</v>
      </c>
      <c r="Q233" s="1">
        <v>0</v>
      </c>
    </row>
    <row r="234" spans="1:17" ht="33.75" customHeight="1" x14ac:dyDescent="0.25">
      <c r="A234" s="28"/>
      <c r="B234" s="122"/>
      <c r="C234" s="100"/>
      <c r="D234" s="2" t="s">
        <v>23</v>
      </c>
      <c r="E234" s="3">
        <f t="shared" si="74"/>
        <v>0</v>
      </c>
      <c r="F234" s="1"/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</row>
    <row r="235" spans="1:17" ht="20.149999999999999" hidden="1" customHeight="1" x14ac:dyDescent="0.25">
      <c r="A235" s="155" t="s">
        <v>162</v>
      </c>
      <c r="B235" s="167" t="s">
        <v>163</v>
      </c>
      <c r="C235" s="126"/>
      <c r="D235" s="2" t="s">
        <v>31</v>
      </c>
      <c r="E235" s="3">
        <f t="shared" ref="E235:E239" si="77">SUM(F235:Q235)</f>
        <v>0</v>
      </c>
      <c r="F235" s="1">
        <f t="shared" ref="F235:Q235" si="78">SUM(F236:F238)</f>
        <v>0</v>
      </c>
      <c r="G235" s="1">
        <f t="shared" si="78"/>
        <v>0</v>
      </c>
      <c r="H235" s="1">
        <f t="shared" si="78"/>
        <v>0</v>
      </c>
      <c r="I235" s="1">
        <f t="shared" si="78"/>
        <v>0</v>
      </c>
      <c r="J235" s="1">
        <f t="shared" si="78"/>
        <v>0</v>
      </c>
      <c r="K235" s="1">
        <f t="shared" si="78"/>
        <v>0</v>
      </c>
      <c r="L235" s="1">
        <f t="shared" si="78"/>
        <v>0</v>
      </c>
      <c r="M235" s="1">
        <f t="shared" si="78"/>
        <v>0</v>
      </c>
      <c r="N235" s="1">
        <f t="shared" si="78"/>
        <v>0</v>
      </c>
      <c r="O235" s="1">
        <f t="shared" si="78"/>
        <v>0</v>
      </c>
      <c r="P235" s="1">
        <f t="shared" si="78"/>
        <v>0</v>
      </c>
      <c r="Q235" s="1">
        <f t="shared" si="78"/>
        <v>0</v>
      </c>
    </row>
    <row r="236" spans="1:17" ht="20.149999999999999" hidden="1" customHeight="1" x14ac:dyDescent="0.25">
      <c r="A236" s="155"/>
      <c r="B236" s="196"/>
      <c r="C236" s="126"/>
      <c r="D236" s="2" t="s">
        <v>19</v>
      </c>
      <c r="E236" s="3">
        <f t="shared" si="77"/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</row>
    <row r="237" spans="1:17" ht="20.149999999999999" hidden="1" customHeight="1" x14ac:dyDescent="0.25">
      <c r="A237" s="155"/>
      <c r="B237" s="196"/>
      <c r="C237" s="126"/>
      <c r="D237" s="2" t="s">
        <v>20</v>
      </c>
      <c r="E237" s="3">
        <f t="shared" si="77"/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f>52500-52500</f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</row>
    <row r="238" spans="1:17" ht="20.149999999999999" hidden="1" customHeight="1" x14ac:dyDescent="0.25">
      <c r="A238" s="155"/>
      <c r="B238" s="196"/>
      <c r="C238" s="126"/>
      <c r="D238" s="2" t="s">
        <v>21</v>
      </c>
      <c r="E238" s="3">
        <f t="shared" si="77"/>
        <v>0</v>
      </c>
      <c r="F238" s="1"/>
      <c r="G238" s="1">
        <v>0</v>
      </c>
      <c r="H238" s="1"/>
      <c r="I238" s="1">
        <v>0</v>
      </c>
      <c r="J238" s="1">
        <v>0</v>
      </c>
      <c r="K238" s="1">
        <v>0</v>
      </c>
      <c r="L238" s="1">
        <f>3150+201.1-3351.1</f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</row>
    <row r="239" spans="1:17" ht="33.75" hidden="1" customHeight="1" x14ac:dyDescent="0.25">
      <c r="A239" s="149"/>
      <c r="B239" s="196"/>
      <c r="C239" s="126"/>
      <c r="D239" s="2" t="s">
        <v>23</v>
      </c>
      <c r="E239" s="3">
        <f t="shared" si="77"/>
        <v>0</v>
      </c>
      <c r="F239" s="1"/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</row>
    <row r="240" spans="1:17" ht="20.149999999999999" customHeight="1" x14ac:dyDescent="0.25">
      <c r="A240" s="155" t="s">
        <v>162</v>
      </c>
      <c r="B240" s="192" t="s">
        <v>203</v>
      </c>
      <c r="C240" s="126"/>
      <c r="D240" s="34" t="s">
        <v>31</v>
      </c>
      <c r="E240" s="35">
        <f t="shared" ref="E240:E244" si="79">SUM(F240:Q240)</f>
        <v>134609.5</v>
      </c>
      <c r="F240" s="11">
        <f t="shared" ref="F240:Q240" si="80">SUM(F241:F243)</f>
        <v>0</v>
      </c>
      <c r="G240" s="11">
        <f t="shared" si="80"/>
        <v>0</v>
      </c>
      <c r="H240" s="11">
        <f t="shared" si="80"/>
        <v>0</v>
      </c>
      <c r="I240" s="11">
        <f t="shared" si="80"/>
        <v>0</v>
      </c>
      <c r="J240" s="11">
        <f t="shared" si="80"/>
        <v>0</v>
      </c>
      <c r="K240" s="11">
        <f t="shared" si="80"/>
        <v>0</v>
      </c>
      <c r="L240" s="11">
        <f t="shared" si="80"/>
        <v>0</v>
      </c>
      <c r="M240" s="11">
        <f t="shared" si="80"/>
        <v>134609.5</v>
      </c>
      <c r="N240" s="11">
        <f t="shared" si="80"/>
        <v>0</v>
      </c>
      <c r="O240" s="11">
        <f t="shared" si="80"/>
        <v>0</v>
      </c>
      <c r="P240" s="11">
        <f t="shared" si="80"/>
        <v>0</v>
      </c>
      <c r="Q240" s="11">
        <f t="shared" si="80"/>
        <v>0</v>
      </c>
    </row>
    <row r="241" spans="1:17" ht="32.75" customHeight="1" x14ac:dyDescent="0.25">
      <c r="A241" s="155"/>
      <c r="B241" s="236"/>
      <c r="C241" s="126"/>
      <c r="D241" s="2" t="s">
        <v>19</v>
      </c>
      <c r="E241" s="3">
        <f t="shared" si="79"/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</row>
    <row r="242" spans="1:17" ht="32.1" customHeight="1" x14ac:dyDescent="0.25">
      <c r="A242" s="155"/>
      <c r="B242" s="236"/>
      <c r="C242" s="126"/>
      <c r="D242" s="2" t="s">
        <v>20</v>
      </c>
      <c r="E242" s="3">
        <f t="shared" si="79"/>
        <v>98769.9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f>98769.9</f>
        <v>98769.9</v>
      </c>
      <c r="N242" s="1">
        <v>0</v>
      </c>
      <c r="O242" s="1">
        <v>0</v>
      </c>
      <c r="P242" s="1">
        <v>0</v>
      </c>
      <c r="Q242" s="1">
        <v>0</v>
      </c>
    </row>
    <row r="243" spans="1:17" ht="25.55" customHeight="1" x14ac:dyDescent="0.25">
      <c r="A243" s="155"/>
      <c r="B243" s="236"/>
      <c r="C243" s="126"/>
      <c r="D243" s="2" t="s">
        <v>21</v>
      </c>
      <c r="E243" s="3">
        <f t="shared" si="79"/>
        <v>35839.599999999999</v>
      </c>
      <c r="F243" s="1"/>
      <c r="G243" s="1">
        <v>0</v>
      </c>
      <c r="H243" s="1"/>
      <c r="I243" s="1">
        <v>0</v>
      </c>
      <c r="J243" s="1">
        <v>0</v>
      </c>
      <c r="K243" s="1">
        <v>0</v>
      </c>
      <c r="L243" s="1">
        <v>0</v>
      </c>
      <c r="M243" s="1">
        <f>35839.6</f>
        <v>35839.599999999999</v>
      </c>
      <c r="N243" s="1">
        <v>0</v>
      </c>
      <c r="O243" s="1">
        <v>0</v>
      </c>
      <c r="P243" s="1">
        <v>0</v>
      </c>
      <c r="Q243" s="1">
        <v>0</v>
      </c>
    </row>
    <row r="244" spans="1:17" ht="30.15" customHeight="1" x14ac:dyDescent="0.25">
      <c r="A244" s="160"/>
      <c r="B244" s="122"/>
      <c r="C244" s="116"/>
      <c r="D244" s="2" t="s">
        <v>23</v>
      </c>
      <c r="E244" s="3">
        <f t="shared" si="79"/>
        <v>0</v>
      </c>
      <c r="F244" s="1"/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</row>
    <row r="245" spans="1:17" ht="36" customHeight="1" x14ac:dyDescent="0.25">
      <c r="A245" s="150" t="s">
        <v>198</v>
      </c>
      <c r="B245" s="192" t="s">
        <v>199</v>
      </c>
      <c r="C245" s="100"/>
      <c r="D245" s="34" t="s">
        <v>31</v>
      </c>
      <c r="E245" s="35">
        <f t="shared" ref="E245:E249" si="81">SUM(F245:Q245)</f>
        <v>2127.6999999999998</v>
      </c>
      <c r="F245" s="11">
        <f t="shared" ref="F245:Q245" si="82">SUM(F246:F248)</f>
        <v>0</v>
      </c>
      <c r="G245" s="11">
        <f t="shared" si="82"/>
        <v>0</v>
      </c>
      <c r="H245" s="11">
        <f t="shared" si="82"/>
        <v>0</v>
      </c>
      <c r="I245" s="11">
        <f t="shared" si="82"/>
        <v>0</v>
      </c>
      <c r="J245" s="11">
        <f t="shared" si="82"/>
        <v>0</v>
      </c>
      <c r="K245" s="11">
        <f t="shared" si="82"/>
        <v>0</v>
      </c>
      <c r="L245" s="11">
        <f t="shared" si="82"/>
        <v>0</v>
      </c>
      <c r="M245" s="45">
        <f t="shared" si="82"/>
        <v>2127.6999999999998</v>
      </c>
      <c r="N245" s="11">
        <f t="shared" si="82"/>
        <v>0</v>
      </c>
      <c r="O245" s="11">
        <f t="shared" si="82"/>
        <v>0</v>
      </c>
      <c r="P245" s="11">
        <f t="shared" si="82"/>
        <v>0</v>
      </c>
      <c r="Q245" s="11">
        <f t="shared" si="82"/>
        <v>0</v>
      </c>
    </row>
    <row r="246" spans="1:17" ht="23.6" customHeight="1" x14ac:dyDescent="0.25">
      <c r="A246" s="155"/>
      <c r="B246" s="236"/>
      <c r="C246" s="100"/>
      <c r="D246" s="2" t="s">
        <v>19</v>
      </c>
      <c r="E246" s="3">
        <f t="shared" si="81"/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</row>
    <row r="247" spans="1:17" ht="26.85" customHeight="1" x14ac:dyDescent="0.25">
      <c r="A247" s="155"/>
      <c r="B247" s="236"/>
      <c r="C247" s="100"/>
      <c r="D247" s="2" t="s">
        <v>20</v>
      </c>
      <c r="E247" s="3">
        <f t="shared" si="81"/>
        <v>2000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0">
        <v>2000</v>
      </c>
      <c r="N247" s="1">
        <v>0</v>
      </c>
      <c r="O247" s="1">
        <v>0</v>
      </c>
      <c r="P247" s="1">
        <v>0</v>
      </c>
      <c r="Q247" s="1">
        <v>0</v>
      </c>
    </row>
    <row r="248" spans="1:17" ht="25.55" customHeight="1" x14ac:dyDescent="0.25">
      <c r="A248" s="155"/>
      <c r="B248" s="236"/>
      <c r="C248" s="100"/>
      <c r="D248" s="2" t="s">
        <v>21</v>
      </c>
      <c r="E248" s="3">
        <f t="shared" si="81"/>
        <v>127.7</v>
      </c>
      <c r="F248" s="1"/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0">
        <f>120+7.7</f>
        <v>127.7</v>
      </c>
      <c r="N248" s="1">
        <v>0</v>
      </c>
      <c r="O248" s="1">
        <v>0</v>
      </c>
      <c r="P248" s="1">
        <v>0</v>
      </c>
      <c r="Q248" s="1">
        <v>0</v>
      </c>
    </row>
    <row r="249" spans="1:17" ht="24.9" customHeight="1" x14ac:dyDescent="0.25">
      <c r="A249" s="160"/>
      <c r="B249" s="122"/>
      <c r="C249" s="100"/>
      <c r="D249" s="2" t="s">
        <v>23</v>
      </c>
      <c r="E249" s="3">
        <f t="shared" si="81"/>
        <v>0</v>
      </c>
      <c r="F249" s="1"/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</row>
    <row r="250" spans="1:17" ht="36" customHeight="1" x14ac:dyDescent="0.25">
      <c r="A250" s="150" t="s">
        <v>204</v>
      </c>
      <c r="B250" s="192" t="s">
        <v>205</v>
      </c>
      <c r="C250" s="100"/>
      <c r="D250" s="34" t="s">
        <v>31</v>
      </c>
      <c r="E250" s="35">
        <f t="shared" ref="E250:E254" si="83">SUM(F250:Q250)</f>
        <v>1686.8</v>
      </c>
      <c r="F250" s="11">
        <f t="shared" ref="F250:Q250" si="84">SUM(F251:F253)</f>
        <v>0</v>
      </c>
      <c r="G250" s="11">
        <f t="shared" si="84"/>
        <v>0</v>
      </c>
      <c r="H250" s="11">
        <f t="shared" si="84"/>
        <v>0</v>
      </c>
      <c r="I250" s="11">
        <f t="shared" si="84"/>
        <v>0</v>
      </c>
      <c r="J250" s="11">
        <f t="shared" si="84"/>
        <v>0</v>
      </c>
      <c r="K250" s="11">
        <f t="shared" si="84"/>
        <v>0</v>
      </c>
      <c r="L250" s="11">
        <f t="shared" si="84"/>
        <v>0</v>
      </c>
      <c r="M250" s="45">
        <f t="shared" si="84"/>
        <v>1686.8</v>
      </c>
      <c r="N250" s="11">
        <f t="shared" si="84"/>
        <v>0</v>
      </c>
      <c r="O250" s="11">
        <f t="shared" si="84"/>
        <v>0</v>
      </c>
      <c r="P250" s="11">
        <f t="shared" si="84"/>
        <v>0</v>
      </c>
      <c r="Q250" s="11">
        <f t="shared" si="84"/>
        <v>0</v>
      </c>
    </row>
    <row r="251" spans="1:17" ht="23.6" customHeight="1" x14ac:dyDescent="0.25">
      <c r="A251" s="155"/>
      <c r="B251" s="236"/>
      <c r="C251" s="100"/>
      <c r="D251" s="2" t="s">
        <v>19</v>
      </c>
      <c r="E251" s="3">
        <f t="shared" si="83"/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</row>
    <row r="252" spans="1:17" ht="26.85" customHeight="1" x14ac:dyDescent="0.25">
      <c r="A252" s="155"/>
      <c r="B252" s="236"/>
      <c r="C252" s="100"/>
      <c r="D252" s="2" t="s">
        <v>20</v>
      </c>
      <c r="E252" s="3">
        <f t="shared" si="83"/>
        <v>1585.6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0">
        <v>1585.6</v>
      </c>
      <c r="N252" s="1">
        <v>0</v>
      </c>
      <c r="O252" s="1">
        <v>0</v>
      </c>
      <c r="P252" s="1">
        <v>0</v>
      </c>
      <c r="Q252" s="1">
        <v>0</v>
      </c>
    </row>
    <row r="253" spans="1:17" ht="25.55" customHeight="1" x14ac:dyDescent="0.25">
      <c r="A253" s="155"/>
      <c r="B253" s="236"/>
      <c r="C253" s="100"/>
      <c r="D253" s="2" t="s">
        <v>21</v>
      </c>
      <c r="E253" s="3">
        <f t="shared" si="83"/>
        <v>101.2</v>
      </c>
      <c r="F253" s="1"/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0">
        <v>101.2</v>
      </c>
      <c r="N253" s="1">
        <v>0</v>
      </c>
      <c r="O253" s="1">
        <v>0</v>
      </c>
      <c r="P253" s="1">
        <v>0</v>
      </c>
      <c r="Q253" s="1">
        <v>0</v>
      </c>
    </row>
    <row r="254" spans="1:17" ht="24.9" customHeight="1" x14ac:dyDescent="0.25">
      <c r="A254" s="160"/>
      <c r="B254" s="122"/>
      <c r="C254" s="100"/>
      <c r="D254" s="2" t="s">
        <v>23</v>
      </c>
      <c r="E254" s="3">
        <f t="shared" si="83"/>
        <v>0</v>
      </c>
      <c r="F254" s="1"/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</row>
    <row r="255" spans="1:17" ht="38" customHeight="1" x14ac:dyDescent="0.25">
      <c r="A255" s="141" t="s">
        <v>131</v>
      </c>
      <c r="B255" s="166" t="s">
        <v>134</v>
      </c>
      <c r="C255" s="100"/>
      <c r="D255" s="24" t="s">
        <v>31</v>
      </c>
      <c r="E255" s="10">
        <f>E260</f>
        <v>4632.3</v>
      </c>
      <c r="F255" s="10"/>
      <c r="G255" s="10">
        <f t="shared" ref="G255:Q255" si="85">G260</f>
        <v>0</v>
      </c>
      <c r="H255" s="10">
        <f t="shared" si="85"/>
        <v>0</v>
      </c>
      <c r="I255" s="10">
        <f t="shared" si="85"/>
        <v>0</v>
      </c>
      <c r="J255" s="10">
        <f t="shared" si="85"/>
        <v>0</v>
      </c>
      <c r="K255" s="10">
        <f t="shared" si="85"/>
        <v>4632.3</v>
      </c>
      <c r="L255" s="10">
        <f t="shared" si="85"/>
        <v>0</v>
      </c>
      <c r="M255" s="10">
        <f t="shared" si="85"/>
        <v>0</v>
      </c>
      <c r="N255" s="10">
        <f t="shared" si="85"/>
        <v>0</v>
      </c>
      <c r="O255" s="10">
        <f t="shared" si="85"/>
        <v>0</v>
      </c>
      <c r="P255" s="10">
        <f t="shared" si="85"/>
        <v>0</v>
      </c>
      <c r="Q255" s="10">
        <f t="shared" si="85"/>
        <v>0</v>
      </c>
    </row>
    <row r="256" spans="1:17" ht="28.15" customHeight="1" x14ac:dyDescent="0.25">
      <c r="A256" s="203"/>
      <c r="B256" s="230"/>
      <c r="C256" s="101"/>
      <c r="D256" s="2" t="s">
        <v>19</v>
      </c>
      <c r="E256" s="1">
        <f>E261</f>
        <v>0</v>
      </c>
      <c r="F256" s="1"/>
      <c r="G256" s="1">
        <f t="shared" ref="G256:J259" si="86">G261</f>
        <v>0</v>
      </c>
      <c r="H256" s="1">
        <f t="shared" si="86"/>
        <v>0</v>
      </c>
      <c r="I256" s="1">
        <f t="shared" si="86"/>
        <v>0</v>
      </c>
      <c r="J256" s="1">
        <f t="shared" si="86"/>
        <v>0</v>
      </c>
      <c r="K256" s="1">
        <f t="shared" ref="K256:L259" si="87">K261</f>
        <v>0</v>
      </c>
      <c r="L256" s="1">
        <f t="shared" si="87"/>
        <v>0</v>
      </c>
      <c r="M256" s="1">
        <f t="shared" ref="M256:Q259" si="88">M261</f>
        <v>0</v>
      </c>
      <c r="N256" s="1">
        <f t="shared" si="88"/>
        <v>0</v>
      </c>
      <c r="O256" s="1">
        <f t="shared" si="88"/>
        <v>0</v>
      </c>
      <c r="P256" s="1">
        <f t="shared" si="88"/>
        <v>0</v>
      </c>
      <c r="Q256" s="1">
        <f t="shared" si="88"/>
        <v>0</v>
      </c>
    </row>
    <row r="257" spans="1:17" ht="29.45" customHeight="1" x14ac:dyDescent="0.25">
      <c r="A257" s="84"/>
      <c r="B257" s="109"/>
      <c r="C257" s="100"/>
      <c r="D257" s="34" t="s">
        <v>20</v>
      </c>
      <c r="E257" s="11">
        <f>E262</f>
        <v>4400.7</v>
      </c>
      <c r="F257" s="11"/>
      <c r="G257" s="11">
        <f t="shared" si="86"/>
        <v>0</v>
      </c>
      <c r="H257" s="11">
        <f t="shared" si="86"/>
        <v>0</v>
      </c>
      <c r="I257" s="11">
        <f t="shared" si="86"/>
        <v>0</v>
      </c>
      <c r="J257" s="11">
        <f t="shared" si="86"/>
        <v>0</v>
      </c>
      <c r="K257" s="11">
        <f t="shared" si="87"/>
        <v>4400.7</v>
      </c>
      <c r="L257" s="11">
        <f t="shared" si="87"/>
        <v>0</v>
      </c>
      <c r="M257" s="11">
        <f t="shared" si="88"/>
        <v>0</v>
      </c>
      <c r="N257" s="11">
        <f t="shared" si="88"/>
        <v>0</v>
      </c>
      <c r="O257" s="11">
        <f t="shared" si="88"/>
        <v>0</v>
      </c>
      <c r="P257" s="11">
        <f t="shared" si="88"/>
        <v>0</v>
      </c>
      <c r="Q257" s="11">
        <f t="shared" si="88"/>
        <v>0</v>
      </c>
    </row>
    <row r="258" spans="1:17" ht="31.45" customHeight="1" x14ac:dyDescent="0.25">
      <c r="A258" s="84"/>
      <c r="B258" s="109"/>
      <c r="C258" s="100"/>
      <c r="D258" s="2" t="s">
        <v>21</v>
      </c>
      <c r="E258" s="1">
        <f>E263</f>
        <v>231.6</v>
      </c>
      <c r="F258" s="1"/>
      <c r="G258" s="1">
        <f t="shared" si="86"/>
        <v>0</v>
      </c>
      <c r="H258" s="1">
        <f t="shared" si="86"/>
        <v>0</v>
      </c>
      <c r="I258" s="1">
        <f t="shared" si="86"/>
        <v>0</v>
      </c>
      <c r="J258" s="1">
        <f t="shared" si="86"/>
        <v>0</v>
      </c>
      <c r="K258" s="1">
        <f t="shared" si="87"/>
        <v>231.6</v>
      </c>
      <c r="L258" s="1">
        <f t="shared" si="87"/>
        <v>0</v>
      </c>
      <c r="M258" s="1">
        <f t="shared" si="88"/>
        <v>0</v>
      </c>
      <c r="N258" s="1">
        <f t="shared" si="88"/>
        <v>0</v>
      </c>
      <c r="O258" s="1">
        <f t="shared" si="88"/>
        <v>0</v>
      </c>
      <c r="P258" s="1">
        <f t="shared" si="88"/>
        <v>0</v>
      </c>
      <c r="Q258" s="1">
        <f t="shared" si="88"/>
        <v>0</v>
      </c>
    </row>
    <row r="259" spans="1:17" ht="34.700000000000003" customHeight="1" x14ac:dyDescent="0.25">
      <c r="A259" s="78"/>
      <c r="B259" s="122"/>
      <c r="C259" s="100"/>
      <c r="D259" s="2" t="s">
        <v>23</v>
      </c>
      <c r="E259" s="1">
        <f>E264</f>
        <v>0</v>
      </c>
      <c r="F259" s="1"/>
      <c r="G259" s="1">
        <f t="shared" si="86"/>
        <v>0</v>
      </c>
      <c r="H259" s="1">
        <f t="shared" si="86"/>
        <v>0</v>
      </c>
      <c r="I259" s="1">
        <f t="shared" si="86"/>
        <v>0</v>
      </c>
      <c r="J259" s="1">
        <f t="shared" si="86"/>
        <v>0</v>
      </c>
      <c r="K259" s="1">
        <f t="shared" si="87"/>
        <v>0</v>
      </c>
      <c r="L259" s="1">
        <f t="shared" si="87"/>
        <v>0</v>
      </c>
      <c r="M259" s="1">
        <f t="shared" si="88"/>
        <v>0</v>
      </c>
      <c r="N259" s="1">
        <f t="shared" si="88"/>
        <v>0</v>
      </c>
      <c r="O259" s="1">
        <f t="shared" si="88"/>
        <v>0</v>
      </c>
      <c r="P259" s="1">
        <f t="shared" si="88"/>
        <v>0</v>
      </c>
      <c r="Q259" s="1">
        <f t="shared" si="88"/>
        <v>0</v>
      </c>
    </row>
    <row r="260" spans="1:17" ht="30.8" customHeight="1" x14ac:dyDescent="0.25">
      <c r="A260" s="155" t="s">
        <v>132</v>
      </c>
      <c r="B260" s="192" t="s">
        <v>133</v>
      </c>
      <c r="C260" s="126"/>
      <c r="D260" s="2" t="s">
        <v>31</v>
      </c>
      <c r="E260" s="3">
        <f>SUM(F260:Q260)</f>
        <v>4632.3</v>
      </c>
      <c r="F260" s="1">
        <f t="shared" ref="F260:Q260" si="89">SUM(F261:F263)</f>
        <v>0</v>
      </c>
      <c r="G260" s="1">
        <f t="shared" si="89"/>
        <v>0</v>
      </c>
      <c r="H260" s="1">
        <f t="shared" si="89"/>
        <v>0</v>
      </c>
      <c r="I260" s="1">
        <f t="shared" si="89"/>
        <v>0</v>
      </c>
      <c r="J260" s="1">
        <f t="shared" si="89"/>
        <v>0</v>
      </c>
      <c r="K260" s="1">
        <f t="shared" si="89"/>
        <v>4632.3</v>
      </c>
      <c r="L260" s="1">
        <f t="shared" si="89"/>
        <v>0</v>
      </c>
      <c r="M260" s="1">
        <f t="shared" si="89"/>
        <v>0</v>
      </c>
      <c r="N260" s="1">
        <f t="shared" si="89"/>
        <v>0</v>
      </c>
      <c r="O260" s="1">
        <f t="shared" si="89"/>
        <v>0</v>
      </c>
      <c r="P260" s="1">
        <f t="shared" si="89"/>
        <v>0</v>
      </c>
      <c r="Q260" s="1">
        <f t="shared" si="89"/>
        <v>0</v>
      </c>
    </row>
    <row r="261" spans="1:17" ht="33.4" customHeight="1" x14ac:dyDescent="0.25">
      <c r="A261" s="151"/>
      <c r="B261" s="196"/>
      <c r="C261" s="126"/>
      <c r="D261" s="2" t="s">
        <v>19</v>
      </c>
      <c r="E261" s="3">
        <f>SUM(F261:Q261)</f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</row>
    <row r="262" spans="1:17" ht="24.25" customHeight="1" x14ac:dyDescent="0.25">
      <c r="A262" s="151"/>
      <c r="B262" s="196"/>
      <c r="C262" s="116"/>
      <c r="D262" s="2" t="s">
        <v>20</v>
      </c>
      <c r="E262" s="3">
        <f>SUM(F262:Q262)</f>
        <v>4400.7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4400.7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</row>
    <row r="263" spans="1:17" ht="28.15" customHeight="1" x14ac:dyDescent="0.25">
      <c r="A263" s="151"/>
      <c r="B263" s="196"/>
      <c r="C263" s="126"/>
      <c r="D263" s="34" t="s">
        <v>21</v>
      </c>
      <c r="E263" s="3">
        <f>SUM(F263:Q263)</f>
        <v>231.6</v>
      </c>
      <c r="F263" s="1"/>
      <c r="G263" s="1">
        <v>0</v>
      </c>
      <c r="H263" s="1"/>
      <c r="I263" s="1">
        <v>0</v>
      </c>
      <c r="J263" s="1">
        <v>0</v>
      </c>
      <c r="K263" s="1">
        <v>231.6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</row>
    <row r="264" spans="1:17" ht="30.8" customHeight="1" x14ac:dyDescent="0.25">
      <c r="A264" s="152"/>
      <c r="B264" s="216"/>
      <c r="C264" s="116"/>
      <c r="D264" s="2" t="s">
        <v>23</v>
      </c>
      <c r="E264" s="3">
        <f>SUM(F264:Q264)</f>
        <v>0</v>
      </c>
      <c r="F264" s="1"/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</row>
    <row r="265" spans="1:17" ht="20.149999999999999" customHeight="1" x14ac:dyDescent="0.25">
      <c r="A265" s="231" t="s">
        <v>145</v>
      </c>
      <c r="B265" s="138" t="s">
        <v>146</v>
      </c>
      <c r="C265" s="54"/>
      <c r="D265" s="24" t="s">
        <v>31</v>
      </c>
      <c r="E265" s="10">
        <f>E270</f>
        <v>3000</v>
      </c>
      <c r="F265" s="10"/>
      <c r="G265" s="10">
        <f t="shared" ref="G265:Q265" si="90">G270</f>
        <v>0</v>
      </c>
      <c r="H265" s="10">
        <f t="shared" si="90"/>
        <v>0</v>
      </c>
      <c r="I265" s="10">
        <f t="shared" si="90"/>
        <v>0</v>
      </c>
      <c r="J265" s="10">
        <f t="shared" si="90"/>
        <v>0</v>
      </c>
      <c r="K265" s="10">
        <f t="shared" si="90"/>
        <v>0</v>
      </c>
      <c r="L265" s="10">
        <f t="shared" si="90"/>
        <v>1500</v>
      </c>
      <c r="M265" s="10">
        <f t="shared" si="90"/>
        <v>1500</v>
      </c>
      <c r="N265" s="10">
        <f t="shared" si="90"/>
        <v>0</v>
      </c>
      <c r="O265" s="10">
        <f t="shared" si="90"/>
        <v>0</v>
      </c>
      <c r="P265" s="10">
        <f t="shared" si="90"/>
        <v>0</v>
      </c>
      <c r="Q265" s="10">
        <f t="shared" si="90"/>
        <v>0</v>
      </c>
    </row>
    <row r="266" spans="1:17" ht="33.4" customHeight="1" x14ac:dyDescent="0.25">
      <c r="A266" s="232"/>
      <c r="B266" s="176"/>
      <c r="C266" s="101"/>
      <c r="D266" s="2" t="s">
        <v>19</v>
      </c>
      <c r="E266" s="1">
        <f>E271</f>
        <v>0</v>
      </c>
      <c r="F266" s="1"/>
      <c r="G266" s="1">
        <f t="shared" ref="G266:L266" si="91">G271</f>
        <v>0</v>
      </c>
      <c r="H266" s="1">
        <f t="shared" si="91"/>
        <v>0</v>
      </c>
      <c r="I266" s="1">
        <f t="shared" si="91"/>
        <v>0</v>
      </c>
      <c r="J266" s="1">
        <f t="shared" si="91"/>
        <v>0</v>
      </c>
      <c r="K266" s="1">
        <f t="shared" si="91"/>
        <v>0</v>
      </c>
      <c r="L266" s="1">
        <f t="shared" si="91"/>
        <v>0</v>
      </c>
      <c r="M266" s="1">
        <f t="shared" ref="M266:Q269" si="92">M271</f>
        <v>0</v>
      </c>
      <c r="N266" s="1">
        <f t="shared" si="92"/>
        <v>0</v>
      </c>
      <c r="O266" s="1">
        <f t="shared" si="92"/>
        <v>0</v>
      </c>
      <c r="P266" s="1">
        <f t="shared" si="92"/>
        <v>0</v>
      </c>
      <c r="Q266" s="1">
        <f t="shared" si="92"/>
        <v>0</v>
      </c>
    </row>
    <row r="267" spans="1:17" ht="20.149999999999999" customHeight="1" x14ac:dyDescent="0.25">
      <c r="A267" s="232"/>
      <c r="B267" s="176"/>
      <c r="C267" s="100"/>
      <c r="D267" s="34" t="s">
        <v>20</v>
      </c>
      <c r="E267" s="11">
        <f>E272</f>
        <v>0</v>
      </c>
      <c r="F267" s="11"/>
      <c r="G267" s="11">
        <f t="shared" ref="G267:L267" si="93">G272</f>
        <v>0</v>
      </c>
      <c r="H267" s="11">
        <f t="shared" si="93"/>
        <v>0</v>
      </c>
      <c r="I267" s="11">
        <f t="shared" si="93"/>
        <v>0</v>
      </c>
      <c r="J267" s="11">
        <f t="shared" si="93"/>
        <v>0</v>
      </c>
      <c r="K267" s="11">
        <f t="shared" si="93"/>
        <v>0</v>
      </c>
      <c r="L267" s="11">
        <f t="shared" si="93"/>
        <v>0</v>
      </c>
      <c r="M267" s="11">
        <f t="shared" si="92"/>
        <v>0</v>
      </c>
      <c r="N267" s="11">
        <f t="shared" si="92"/>
        <v>0</v>
      </c>
      <c r="O267" s="11">
        <f t="shared" si="92"/>
        <v>0</v>
      </c>
      <c r="P267" s="11">
        <f t="shared" si="92"/>
        <v>0</v>
      </c>
      <c r="Q267" s="11">
        <f t="shared" si="92"/>
        <v>0</v>
      </c>
    </row>
    <row r="268" spans="1:17" ht="24.25" customHeight="1" x14ac:dyDescent="0.25">
      <c r="A268" s="117"/>
      <c r="B268" s="80"/>
      <c r="C268" s="101"/>
      <c r="D268" s="2" t="s">
        <v>21</v>
      </c>
      <c r="E268" s="1">
        <f>E273</f>
        <v>3000</v>
      </c>
      <c r="F268" s="1"/>
      <c r="G268" s="1">
        <f t="shared" ref="G268:L268" si="94">G273</f>
        <v>0</v>
      </c>
      <c r="H268" s="1">
        <f t="shared" si="94"/>
        <v>0</v>
      </c>
      <c r="I268" s="1">
        <f t="shared" si="94"/>
        <v>0</v>
      </c>
      <c r="J268" s="1">
        <f t="shared" si="94"/>
        <v>0</v>
      </c>
      <c r="K268" s="1">
        <f t="shared" si="94"/>
        <v>0</v>
      </c>
      <c r="L268" s="1">
        <f t="shared" si="94"/>
        <v>1500</v>
      </c>
      <c r="M268" s="1">
        <f t="shared" si="92"/>
        <v>1500</v>
      </c>
      <c r="N268" s="1">
        <f t="shared" si="92"/>
        <v>0</v>
      </c>
      <c r="O268" s="1">
        <f t="shared" si="92"/>
        <v>0</v>
      </c>
      <c r="P268" s="1">
        <f t="shared" si="92"/>
        <v>0</v>
      </c>
      <c r="Q268" s="1">
        <f t="shared" si="92"/>
        <v>0</v>
      </c>
    </row>
    <row r="269" spans="1:17" ht="36" customHeight="1" x14ac:dyDescent="0.25">
      <c r="A269" s="59"/>
      <c r="B269" s="81"/>
      <c r="C269" s="101"/>
      <c r="D269" s="34" t="s">
        <v>23</v>
      </c>
      <c r="E269" s="1">
        <f>E274</f>
        <v>0</v>
      </c>
      <c r="F269" s="1"/>
      <c r="G269" s="1">
        <f t="shared" ref="G269:L269" si="95">G274</f>
        <v>0</v>
      </c>
      <c r="H269" s="1">
        <f t="shared" si="95"/>
        <v>0</v>
      </c>
      <c r="I269" s="1">
        <f t="shared" si="95"/>
        <v>0</v>
      </c>
      <c r="J269" s="1">
        <f t="shared" si="95"/>
        <v>0</v>
      </c>
      <c r="K269" s="1">
        <f t="shared" si="95"/>
        <v>0</v>
      </c>
      <c r="L269" s="1">
        <f t="shared" si="95"/>
        <v>0</v>
      </c>
      <c r="M269" s="1">
        <f t="shared" si="92"/>
        <v>0</v>
      </c>
      <c r="N269" s="1">
        <f t="shared" si="92"/>
        <v>0</v>
      </c>
      <c r="O269" s="1">
        <f t="shared" si="92"/>
        <v>0</v>
      </c>
      <c r="P269" s="1">
        <f t="shared" si="92"/>
        <v>0</v>
      </c>
      <c r="Q269" s="1">
        <f t="shared" si="92"/>
        <v>0</v>
      </c>
    </row>
    <row r="270" spans="1:17" ht="22.75" customHeight="1" x14ac:dyDescent="0.25">
      <c r="A270" s="155" t="s">
        <v>147</v>
      </c>
      <c r="B270" s="192" t="s">
        <v>148</v>
      </c>
      <c r="C270" s="54"/>
      <c r="D270" s="2" t="s">
        <v>31</v>
      </c>
      <c r="E270" s="3">
        <f>SUM(F270:Q270)</f>
        <v>3000</v>
      </c>
      <c r="F270" s="1">
        <f t="shared" ref="F270:Q270" si="96">SUM(F271:F273)</f>
        <v>0</v>
      </c>
      <c r="G270" s="1">
        <f t="shared" si="96"/>
        <v>0</v>
      </c>
      <c r="H270" s="1">
        <f t="shared" si="96"/>
        <v>0</v>
      </c>
      <c r="I270" s="1">
        <f t="shared" si="96"/>
        <v>0</v>
      </c>
      <c r="J270" s="1">
        <f t="shared" si="96"/>
        <v>0</v>
      </c>
      <c r="K270" s="1">
        <f t="shared" si="96"/>
        <v>0</v>
      </c>
      <c r="L270" s="1">
        <f t="shared" si="96"/>
        <v>1500</v>
      </c>
      <c r="M270" s="1">
        <f t="shared" si="96"/>
        <v>1500</v>
      </c>
      <c r="N270" s="1">
        <f t="shared" si="96"/>
        <v>0</v>
      </c>
      <c r="O270" s="1">
        <f t="shared" si="96"/>
        <v>0</v>
      </c>
      <c r="P270" s="1">
        <f t="shared" si="96"/>
        <v>0</v>
      </c>
      <c r="Q270" s="1">
        <f t="shared" si="96"/>
        <v>0</v>
      </c>
    </row>
    <row r="271" spans="1:17" ht="29" customHeight="1" x14ac:dyDescent="0.25">
      <c r="A271" s="151"/>
      <c r="B271" s="195"/>
      <c r="C271" s="101"/>
      <c r="D271" s="2" t="s">
        <v>19</v>
      </c>
      <c r="E271" s="3">
        <f>SUM(F271:Q271)</f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</row>
    <row r="272" spans="1:17" ht="29.45" customHeight="1" x14ac:dyDescent="0.25">
      <c r="A272" s="98"/>
      <c r="B272" s="195"/>
      <c r="C272" s="101"/>
      <c r="D272" s="34" t="s">
        <v>20</v>
      </c>
      <c r="E272" s="3">
        <f>SUM(F272:Q272)</f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</row>
    <row r="273" spans="1:17" ht="26.85" customHeight="1" x14ac:dyDescent="0.25">
      <c r="A273" s="98"/>
      <c r="B273" s="195"/>
      <c r="C273" s="100"/>
      <c r="D273" s="34" t="s">
        <v>21</v>
      </c>
      <c r="E273" s="3">
        <f>SUM(F273:Q273)</f>
        <v>3000</v>
      </c>
      <c r="F273" s="1"/>
      <c r="G273" s="1">
        <v>0</v>
      </c>
      <c r="H273" s="1"/>
      <c r="I273" s="1">
        <v>0</v>
      </c>
      <c r="J273" s="1">
        <v>0</v>
      </c>
      <c r="K273" s="1">
        <v>0</v>
      </c>
      <c r="L273" s="1">
        <v>1500</v>
      </c>
      <c r="M273" s="1">
        <f>1050-1050+1500</f>
        <v>1500</v>
      </c>
      <c r="N273" s="1">
        <v>0</v>
      </c>
      <c r="O273" s="1">
        <v>0</v>
      </c>
      <c r="P273" s="1">
        <v>0</v>
      </c>
      <c r="Q273" s="1">
        <v>0</v>
      </c>
    </row>
    <row r="274" spans="1:17" ht="31.75" customHeight="1" x14ac:dyDescent="0.25">
      <c r="A274" s="99"/>
      <c r="B274" s="122"/>
      <c r="C274" s="100"/>
      <c r="D274" s="2" t="s">
        <v>23</v>
      </c>
      <c r="E274" s="3">
        <f>SUM(F274:Q274)</f>
        <v>0</v>
      </c>
      <c r="F274" s="1"/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</row>
    <row r="275" spans="1:17" ht="29.95" customHeight="1" x14ac:dyDescent="0.25">
      <c r="A275" s="142" t="s">
        <v>156</v>
      </c>
      <c r="B275" s="166" t="s">
        <v>189</v>
      </c>
      <c r="C275" s="55"/>
      <c r="D275" s="24" t="s">
        <v>31</v>
      </c>
      <c r="E275" s="10">
        <f>E282</f>
        <v>2098994.2000000002</v>
      </c>
      <c r="F275" s="10"/>
      <c r="G275" s="10">
        <f t="shared" ref="G275:Q275" si="97">G282</f>
        <v>0</v>
      </c>
      <c r="H275" s="10">
        <f t="shared" si="97"/>
        <v>0</v>
      </c>
      <c r="I275" s="10">
        <f t="shared" si="97"/>
        <v>0</v>
      </c>
      <c r="J275" s="10">
        <f t="shared" si="97"/>
        <v>0</v>
      </c>
      <c r="K275" s="10">
        <f t="shared" si="97"/>
        <v>0</v>
      </c>
      <c r="L275" s="10">
        <f t="shared" si="97"/>
        <v>526916.80000000005</v>
      </c>
      <c r="M275" s="10">
        <f t="shared" si="97"/>
        <v>935620.7</v>
      </c>
      <c r="N275" s="10">
        <f t="shared" si="97"/>
        <v>636456.69999999995</v>
      </c>
      <c r="O275" s="10">
        <f t="shared" si="97"/>
        <v>0</v>
      </c>
      <c r="P275" s="10">
        <f t="shared" si="97"/>
        <v>0</v>
      </c>
      <c r="Q275" s="10">
        <f t="shared" si="97"/>
        <v>0</v>
      </c>
    </row>
    <row r="276" spans="1:17" ht="32.1" customHeight="1" x14ac:dyDescent="0.25">
      <c r="A276" s="151"/>
      <c r="B276" s="185"/>
      <c r="C276" s="116"/>
      <c r="D276" s="2" t="s">
        <v>19</v>
      </c>
      <c r="E276" s="1">
        <f>E283</f>
        <v>0</v>
      </c>
      <c r="F276" s="1"/>
      <c r="G276" s="1">
        <f t="shared" ref="G276:Q276" si="98">G283</f>
        <v>0</v>
      </c>
      <c r="H276" s="1">
        <f t="shared" si="98"/>
        <v>0</v>
      </c>
      <c r="I276" s="1">
        <f t="shared" si="98"/>
        <v>0</v>
      </c>
      <c r="J276" s="1">
        <f t="shared" si="98"/>
        <v>0</v>
      </c>
      <c r="K276" s="1">
        <f t="shared" si="98"/>
        <v>0</v>
      </c>
      <c r="L276" s="1">
        <f t="shared" si="98"/>
        <v>0</v>
      </c>
      <c r="M276" s="1">
        <f t="shared" si="98"/>
        <v>0</v>
      </c>
      <c r="N276" s="1">
        <f t="shared" si="98"/>
        <v>0</v>
      </c>
      <c r="O276" s="1">
        <f t="shared" si="98"/>
        <v>0</v>
      </c>
      <c r="P276" s="1">
        <f t="shared" si="98"/>
        <v>0</v>
      </c>
      <c r="Q276" s="1">
        <f t="shared" si="98"/>
        <v>0</v>
      </c>
    </row>
    <row r="277" spans="1:17" ht="32.9" customHeight="1" x14ac:dyDescent="0.25">
      <c r="A277" s="151"/>
      <c r="B277" s="196"/>
      <c r="C277" s="126"/>
      <c r="D277" s="34" t="s">
        <v>20</v>
      </c>
      <c r="E277" s="11">
        <f>E284</f>
        <v>2035577.1</v>
      </c>
      <c r="F277" s="11"/>
      <c r="G277" s="11">
        <f t="shared" ref="G277:Q277" si="99">G284</f>
        <v>0</v>
      </c>
      <c r="H277" s="11">
        <f t="shared" si="99"/>
        <v>0</v>
      </c>
      <c r="I277" s="11">
        <f t="shared" si="99"/>
        <v>0</v>
      </c>
      <c r="J277" s="11">
        <f t="shared" si="99"/>
        <v>0</v>
      </c>
      <c r="K277" s="11">
        <f t="shared" si="99"/>
        <v>0</v>
      </c>
      <c r="L277" s="11">
        <f t="shared" si="99"/>
        <v>495301.8</v>
      </c>
      <c r="M277" s="11">
        <f t="shared" si="99"/>
        <v>910183.2</v>
      </c>
      <c r="N277" s="11">
        <f t="shared" si="99"/>
        <v>630092.1</v>
      </c>
      <c r="O277" s="11">
        <f t="shared" si="99"/>
        <v>0</v>
      </c>
      <c r="P277" s="11">
        <f t="shared" si="99"/>
        <v>0</v>
      </c>
      <c r="Q277" s="11">
        <f t="shared" si="99"/>
        <v>0</v>
      </c>
    </row>
    <row r="278" spans="1:17" ht="45.85" customHeight="1" x14ac:dyDescent="0.25">
      <c r="A278" s="151"/>
      <c r="B278" s="196"/>
      <c r="C278" s="126"/>
      <c r="D278" s="2" t="s">
        <v>194</v>
      </c>
      <c r="E278" s="3">
        <f>SUM(F278:Q278)</f>
        <v>302329.59999999998</v>
      </c>
      <c r="F278" s="11"/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f>M285</f>
        <v>302329.59999999998</v>
      </c>
      <c r="N278" s="11">
        <v>0</v>
      </c>
      <c r="O278" s="11">
        <v>0</v>
      </c>
      <c r="P278" s="11">
        <v>0</v>
      </c>
      <c r="Q278" s="11">
        <v>0</v>
      </c>
    </row>
    <row r="279" spans="1:17" ht="33.4" customHeight="1" x14ac:dyDescent="0.25">
      <c r="A279" s="151"/>
      <c r="B279" s="196"/>
      <c r="C279" s="126"/>
      <c r="D279" s="2" t="s">
        <v>21</v>
      </c>
      <c r="E279" s="1">
        <f>E286</f>
        <v>63417.100000000006</v>
      </c>
      <c r="F279" s="1"/>
      <c r="G279" s="1">
        <f t="shared" ref="G279:Q279" si="100">G286</f>
        <v>0</v>
      </c>
      <c r="H279" s="1">
        <f t="shared" si="100"/>
        <v>0</v>
      </c>
      <c r="I279" s="1">
        <f t="shared" si="100"/>
        <v>0</v>
      </c>
      <c r="J279" s="1">
        <f t="shared" si="100"/>
        <v>0</v>
      </c>
      <c r="K279" s="1">
        <f t="shared" si="100"/>
        <v>0</v>
      </c>
      <c r="L279" s="1">
        <f t="shared" si="100"/>
        <v>31615</v>
      </c>
      <c r="M279" s="1">
        <f t="shared" si="100"/>
        <v>25437.5</v>
      </c>
      <c r="N279" s="1">
        <f t="shared" si="100"/>
        <v>6364.6000000000022</v>
      </c>
      <c r="O279" s="1">
        <f t="shared" si="100"/>
        <v>0</v>
      </c>
      <c r="P279" s="1">
        <f t="shared" si="100"/>
        <v>0</v>
      </c>
      <c r="Q279" s="1">
        <f t="shared" si="100"/>
        <v>0</v>
      </c>
    </row>
    <row r="280" spans="1:17" ht="51.75" customHeight="1" x14ac:dyDescent="0.25">
      <c r="A280" s="151"/>
      <c r="B280" s="196"/>
      <c r="C280" s="126"/>
      <c r="D280" s="2" t="s">
        <v>194</v>
      </c>
      <c r="E280" s="3">
        <f>SUM(F280:Q280)</f>
        <v>19297.599999999999</v>
      </c>
      <c r="F280" s="1"/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f>M287</f>
        <v>19297.599999999999</v>
      </c>
      <c r="N280" s="1">
        <v>0</v>
      </c>
      <c r="O280" s="1">
        <v>0</v>
      </c>
      <c r="P280" s="1">
        <v>0</v>
      </c>
      <c r="Q280" s="1">
        <v>0</v>
      </c>
    </row>
    <row r="281" spans="1:17" ht="34.700000000000003" customHeight="1" x14ac:dyDescent="0.25">
      <c r="A281" s="151"/>
      <c r="B281" s="196"/>
      <c r="C281" s="116"/>
      <c r="D281" s="2" t="s">
        <v>23</v>
      </c>
      <c r="E281" s="1">
        <f>E288</f>
        <v>0</v>
      </c>
      <c r="F281" s="1"/>
      <c r="G281" s="1">
        <f t="shared" ref="G281:Q281" si="101">G288</f>
        <v>0</v>
      </c>
      <c r="H281" s="1">
        <f t="shared" si="101"/>
        <v>0</v>
      </c>
      <c r="I281" s="1">
        <f t="shared" si="101"/>
        <v>0</v>
      </c>
      <c r="J281" s="1">
        <f t="shared" si="101"/>
        <v>0</v>
      </c>
      <c r="K281" s="1">
        <f t="shared" si="101"/>
        <v>0</v>
      </c>
      <c r="L281" s="1">
        <f t="shared" si="101"/>
        <v>0</v>
      </c>
      <c r="M281" s="1">
        <f t="shared" si="101"/>
        <v>0</v>
      </c>
      <c r="N281" s="1">
        <f t="shared" si="101"/>
        <v>0</v>
      </c>
      <c r="O281" s="1">
        <f t="shared" si="101"/>
        <v>0</v>
      </c>
      <c r="P281" s="1">
        <f t="shared" si="101"/>
        <v>0</v>
      </c>
      <c r="Q281" s="1">
        <f t="shared" si="101"/>
        <v>0</v>
      </c>
    </row>
    <row r="282" spans="1:17" ht="30.15" customHeight="1" x14ac:dyDescent="0.25">
      <c r="A282" s="234" t="s">
        <v>157</v>
      </c>
      <c r="B282" s="192" t="str">
        <f>[1]финансирование!$B$265</f>
        <v>Создание новых мест в общеобразовательных организациях</v>
      </c>
      <c r="C282" s="100"/>
      <c r="D282" s="34" t="s">
        <v>31</v>
      </c>
      <c r="E282" s="3">
        <f t="shared" ref="E282:E288" si="102">SUM(F282:Q282)</f>
        <v>2098994.2000000002</v>
      </c>
      <c r="F282" s="1">
        <f t="shared" ref="F282:Q282" si="103">SUM(F283:F286)</f>
        <v>0</v>
      </c>
      <c r="G282" s="1">
        <f t="shared" si="103"/>
        <v>0</v>
      </c>
      <c r="H282" s="1">
        <f t="shared" si="103"/>
        <v>0</v>
      </c>
      <c r="I282" s="1">
        <f t="shared" si="103"/>
        <v>0</v>
      </c>
      <c r="J282" s="1">
        <f t="shared" si="103"/>
        <v>0</v>
      </c>
      <c r="K282" s="1">
        <f t="shared" si="103"/>
        <v>0</v>
      </c>
      <c r="L282" s="1">
        <f t="shared" si="103"/>
        <v>526916.80000000005</v>
      </c>
      <c r="M282" s="1">
        <f>M284+M283+M286</f>
        <v>935620.7</v>
      </c>
      <c r="N282" s="1">
        <f t="shared" si="103"/>
        <v>636456.69999999995</v>
      </c>
      <c r="O282" s="1">
        <f t="shared" si="103"/>
        <v>0</v>
      </c>
      <c r="P282" s="1">
        <f t="shared" si="103"/>
        <v>0</v>
      </c>
      <c r="Q282" s="1">
        <f t="shared" si="103"/>
        <v>0</v>
      </c>
    </row>
    <row r="283" spans="1:17" ht="28.8" customHeight="1" x14ac:dyDescent="0.25">
      <c r="A283" s="185"/>
      <c r="B283" s="167"/>
      <c r="C283" s="100"/>
      <c r="D283" s="2" t="s">
        <v>19</v>
      </c>
      <c r="E283" s="3">
        <f t="shared" si="102"/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</row>
    <row r="284" spans="1:17" ht="36.65" customHeight="1" x14ac:dyDescent="0.25">
      <c r="A284" s="98"/>
      <c r="B284" s="109"/>
      <c r="C284" s="101"/>
      <c r="D284" s="2" t="s">
        <v>20</v>
      </c>
      <c r="E284" s="3">
        <f t="shared" si="102"/>
        <v>2035577.1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495301.8</v>
      </c>
      <c r="M284" s="1">
        <f>490580.8+86573.1+30699.7+302329.6</f>
        <v>910183.2</v>
      </c>
      <c r="N284" s="1">
        <v>630092.1</v>
      </c>
      <c r="O284" s="1">
        <v>0</v>
      </c>
      <c r="P284" s="1">
        <v>0</v>
      </c>
      <c r="Q284" s="1">
        <v>0</v>
      </c>
    </row>
    <row r="285" spans="1:17" ht="51.05" customHeight="1" x14ac:dyDescent="0.25">
      <c r="A285" s="98"/>
      <c r="B285" s="109"/>
      <c r="C285" s="100"/>
      <c r="D285" s="2" t="s">
        <v>194</v>
      </c>
      <c r="E285" s="3">
        <f t="shared" si="102"/>
        <v>302329.59999999998</v>
      </c>
      <c r="F285" s="1"/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302329.59999999998</v>
      </c>
      <c r="N285" s="1">
        <v>0</v>
      </c>
      <c r="O285" s="1">
        <v>0</v>
      </c>
      <c r="P285" s="1">
        <v>0</v>
      </c>
      <c r="Q285" s="1">
        <v>0</v>
      </c>
    </row>
    <row r="286" spans="1:17" ht="26.85" customHeight="1" x14ac:dyDescent="0.25">
      <c r="A286" s="98"/>
      <c r="B286" s="109"/>
      <c r="C286" s="100"/>
      <c r="D286" s="34" t="s">
        <v>21</v>
      </c>
      <c r="E286" s="3">
        <f t="shared" si="102"/>
        <v>63417.100000000006</v>
      </c>
      <c r="F286" s="1"/>
      <c r="G286" s="1">
        <v>0</v>
      </c>
      <c r="H286" s="1"/>
      <c r="I286" s="1">
        <v>0</v>
      </c>
      <c r="J286" s="1">
        <v>0</v>
      </c>
      <c r="K286" s="1">
        <v>0</v>
      </c>
      <c r="L286" s="1">
        <v>31615</v>
      </c>
      <c r="M286" s="1">
        <f>36839.6+19273.4-465-5572.4+19297.6-22056-0.1-8206.6-13673</f>
        <v>25437.5</v>
      </c>
      <c r="N286" s="1">
        <f>38187.4-31822.8</f>
        <v>6364.6000000000022</v>
      </c>
      <c r="O286" s="1">
        <v>0</v>
      </c>
      <c r="P286" s="1">
        <v>0</v>
      </c>
      <c r="Q286" s="1">
        <v>0</v>
      </c>
    </row>
    <row r="287" spans="1:17" ht="47.8" customHeight="1" x14ac:dyDescent="0.25">
      <c r="A287" s="98"/>
      <c r="B287" s="109"/>
      <c r="C287" s="100"/>
      <c r="D287" s="2" t="s">
        <v>194</v>
      </c>
      <c r="E287" s="3">
        <f t="shared" si="102"/>
        <v>19297.599999999999</v>
      </c>
      <c r="F287" s="1"/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19297.599999999999</v>
      </c>
      <c r="N287" s="1">
        <v>0</v>
      </c>
      <c r="O287" s="1">
        <v>0</v>
      </c>
      <c r="P287" s="1">
        <v>0</v>
      </c>
      <c r="Q287" s="1">
        <v>0</v>
      </c>
    </row>
    <row r="288" spans="1:17" ht="34.700000000000003" customHeight="1" x14ac:dyDescent="0.25">
      <c r="A288" s="99"/>
      <c r="B288" s="122"/>
      <c r="C288" s="100"/>
      <c r="D288" s="2" t="s">
        <v>23</v>
      </c>
      <c r="E288" s="3">
        <f t="shared" si="102"/>
        <v>0</v>
      </c>
      <c r="F288" s="1"/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</row>
    <row r="289" spans="1:17" ht="23.9" customHeight="1" x14ac:dyDescent="0.25">
      <c r="A289" s="132" t="s">
        <v>78</v>
      </c>
      <c r="B289" s="79" t="s">
        <v>79</v>
      </c>
      <c r="C289" s="217" t="s">
        <v>18</v>
      </c>
      <c r="D289" s="24" t="s">
        <v>4</v>
      </c>
      <c r="E289" s="9">
        <f>SUM(E290:E292)</f>
        <v>886246.50000000012</v>
      </c>
      <c r="F289" s="10">
        <f t="shared" ref="F289:L289" si="104">SUM(F290:F292)</f>
        <v>0</v>
      </c>
      <c r="G289" s="10">
        <f t="shared" si="104"/>
        <v>70546.600000000006</v>
      </c>
      <c r="H289" s="10">
        <f t="shared" si="104"/>
        <v>72337.200000000012</v>
      </c>
      <c r="I289" s="10">
        <f t="shared" si="104"/>
        <v>75088.200000000012</v>
      </c>
      <c r="J289" s="10">
        <f t="shared" si="104"/>
        <v>77224.799999999988</v>
      </c>
      <c r="K289" s="10">
        <f t="shared" si="104"/>
        <v>78870.299999999988</v>
      </c>
      <c r="L289" s="10">
        <f t="shared" si="104"/>
        <v>68821.3</v>
      </c>
      <c r="M289" s="10">
        <f>SUM(M290:M292)</f>
        <v>94222.1</v>
      </c>
      <c r="N289" s="10">
        <f>SUM(N290:N292)</f>
        <v>93856.900000000009</v>
      </c>
      <c r="O289" s="10">
        <f>SUM(O290:O292)</f>
        <v>87047.299999999988</v>
      </c>
      <c r="P289" s="10">
        <f>SUM(P290:P292)</f>
        <v>84115.900000000009</v>
      </c>
      <c r="Q289" s="10">
        <f>SUM(Q290:Q292)</f>
        <v>84115.900000000009</v>
      </c>
    </row>
    <row r="290" spans="1:17" ht="30.3" customHeight="1" x14ac:dyDescent="0.25">
      <c r="A290" s="133"/>
      <c r="B290" s="80"/>
      <c r="C290" s="169"/>
      <c r="D290" s="2" t="s">
        <v>19</v>
      </c>
      <c r="E290" s="3">
        <f t="shared" ref="E290:E295" si="105">SUM(F290:Q290)</f>
        <v>0</v>
      </c>
      <c r="F290" s="1">
        <f t="shared" ref="F290:L291" si="106">F300+F305+F310+F315+F325+F330+F345+F350+F355</f>
        <v>0</v>
      </c>
      <c r="G290" s="1">
        <f t="shared" si="106"/>
        <v>0</v>
      </c>
      <c r="H290" s="1">
        <f t="shared" si="106"/>
        <v>0</v>
      </c>
      <c r="I290" s="1">
        <f t="shared" si="106"/>
        <v>0</v>
      </c>
      <c r="J290" s="1">
        <f t="shared" si="106"/>
        <v>0</v>
      </c>
      <c r="K290" s="1">
        <f t="shared" si="106"/>
        <v>0</v>
      </c>
      <c r="L290" s="1">
        <f t="shared" si="106"/>
        <v>0</v>
      </c>
      <c r="M290" s="1">
        <f t="shared" ref="M290:Q291" si="107">M300+M305+M310+M315+M325+M330+M345+M350+M355</f>
        <v>0</v>
      </c>
      <c r="N290" s="1">
        <f t="shared" si="107"/>
        <v>0</v>
      </c>
      <c r="O290" s="1">
        <f t="shared" si="107"/>
        <v>0</v>
      </c>
      <c r="P290" s="1">
        <f t="shared" si="107"/>
        <v>0</v>
      </c>
      <c r="Q290" s="1">
        <f t="shared" si="107"/>
        <v>0</v>
      </c>
    </row>
    <row r="291" spans="1:17" ht="30.8" customHeight="1" x14ac:dyDescent="0.25">
      <c r="A291" s="133"/>
      <c r="B291" s="80"/>
      <c r="C291" s="169"/>
      <c r="D291" s="2" t="s">
        <v>20</v>
      </c>
      <c r="E291" s="3">
        <f t="shared" si="105"/>
        <v>809077.60000000009</v>
      </c>
      <c r="F291" s="1">
        <f t="shared" si="106"/>
        <v>0</v>
      </c>
      <c r="G291" s="1">
        <f t="shared" si="106"/>
        <v>64983.5</v>
      </c>
      <c r="H291" s="1">
        <f t="shared" si="106"/>
        <v>65431.30000000001</v>
      </c>
      <c r="I291" s="1">
        <f t="shared" si="106"/>
        <v>67013.400000000009</v>
      </c>
      <c r="J291" s="1">
        <f t="shared" si="106"/>
        <v>68486.799999999988</v>
      </c>
      <c r="K291" s="1">
        <f t="shared" si="106"/>
        <v>69838.399999999994</v>
      </c>
      <c r="L291" s="1">
        <f t="shared" si="106"/>
        <v>67239.8</v>
      </c>
      <c r="M291" s="1">
        <f t="shared" si="107"/>
        <v>84933.3</v>
      </c>
      <c r="N291" s="1">
        <f t="shared" si="107"/>
        <v>86517.1</v>
      </c>
      <c r="O291" s="1">
        <f t="shared" si="107"/>
        <v>80125.399999999994</v>
      </c>
      <c r="P291" s="1">
        <f t="shared" si="107"/>
        <v>77254.3</v>
      </c>
      <c r="Q291" s="1">
        <f t="shared" si="107"/>
        <v>77254.3</v>
      </c>
    </row>
    <row r="292" spans="1:17" ht="25.55" customHeight="1" x14ac:dyDescent="0.25">
      <c r="A292" s="133"/>
      <c r="B292" s="80"/>
      <c r="C292" s="169"/>
      <c r="D292" s="2" t="s">
        <v>21</v>
      </c>
      <c r="E292" s="3">
        <f t="shared" si="105"/>
        <v>77168.900000000009</v>
      </c>
      <c r="F292" s="1">
        <f>F302+F307+F312+F317+F327+F332+F347+F352+F357</f>
        <v>0</v>
      </c>
      <c r="G292" s="1">
        <f t="shared" ref="G292:L292" si="108">G302+G307+G312+G317+G327+G332+G347+G352+G357+G337</f>
        <v>5563.1</v>
      </c>
      <c r="H292" s="1">
        <f t="shared" si="108"/>
        <v>6905.9</v>
      </c>
      <c r="I292" s="1">
        <f t="shared" si="108"/>
        <v>8074.8</v>
      </c>
      <c r="J292" s="1">
        <f t="shared" si="108"/>
        <v>8738</v>
      </c>
      <c r="K292" s="1">
        <f t="shared" si="108"/>
        <v>9031.9</v>
      </c>
      <c r="L292" s="1">
        <f t="shared" si="108"/>
        <v>1581.5</v>
      </c>
      <c r="M292" s="1">
        <f>M302+M307+M312+M317+M327+M332+M347+M352+M357+M337</f>
        <v>9288.7999999999993</v>
      </c>
      <c r="N292" s="1">
        <f>N302+N307+N312+N317+N327+N332+N347+N352+N357+N337</f>
        <v>7339.8000000000011</v>
      </c>
      <c r="O292" s="1">
        <f>O302+O307+O312+O317+O327+O332+O347+O352+O357+O337</f>
        <v>6921.9000000000005</v>
      </c>
      <c r="P292" s="1">
        <f>P302+P307+P312+P317+P327+P332+P347+P352+P357+P337</f>
        <v>6861.6</v>
      </c>
      <c r="Q292" s="1">
        <f>Q302+Q307+Q312+Q317+Q327+Q332+Q347+Q352+Q357+Q337</f>
        <v>6861.6</v>
      </c>
    </row>
    <row r="293" spans="1:17" ht="30.3" customHeight="1" x14ac:dyDescent="0.25">
      <c r="A293" s="134"/>
      <c r="B293" s="81"/>
      <c r="C293" s="170"/>
      <c r="D293" s="2" t="s">
        <v>23</v>
      </c>
      <c r="E293" s="3">
        <f t="shared" si="105"/>
        <v>0</v>
      </c>
      <c r="F293" s="1"/>
      <c r="G293" s="1">
        <f t="shared" ref="G293:L293" si="109">G303+G308+G313+G318+G328+G333+G353+G358</f>
        <v>0</v>
      </c>
      <c r="H293" s="1">
        <f t="shared" si="109"/>
        <v>0</v>
      </c>
      <c r="I293" s="1">
        <f t="shared" si="109"/>
        <v>0</v>
      </c>
      <c r="J293" s="1">
        <f t="shared" si="109"/>
        <v>0</v>
      </c>
      <c r="K293" s="1">
        <f t="shared" si="109"/>
        <v>0</v>
      </c>
      <c r="L293" s="1">
        <f t="shared" si="109"/>
        <v>0</v>
      </c>
      <c r="M293" s="1">
        <f>M303+M308+M313+M318+M328+M333+M353+M358</f>
        <v>0</v>
      </c>
      <c r="N293" s="1">
        <f>N303+N308+N313+N318+N328+N333+N353+N358</f>
        <v>0</v>
      </c>
      <c r="O293" s="1">
        <f>O303+O308+O313+O318+O328+O333+O353+O358</f>
        <v>0</v>
      </c>
      <c r="P293" s="1">
        <f>P303+P308+P313+P318+P328+P333+P353+P358</f>
        <v>0</v>
      </c>
      <c r="Q293" s="1">
        <f>Q303+Q308+Q313+Q318+Q328+Q333+Q353+Q358</f>
        <v>0</v>
      </c>
    </row>
    <row r="294" spans="1:17" ht="28.5" customHeight="1" x14ac:dyDescent="0.25">
      <c r="A294" s="210" t="s">
        <v>130</v>
      </c>
      <c r="B294" s="139" t="s">
        <v>80</v>
      </c>
      <c r="C294" s="51"/>
      <c r="D294" s="24" t="s">
        <v>4</v>
      </c>
      <c r="E294" s="9">
        <f t="shared" si="105"/>
        <v>739762.29999999981</v>
      </c>
      <c r="F294" s="10"/>
      <c r="G294" s="10">
        <f t="shared" ref="G294:L294" si="110">G299+G309+G314+G304</f>
        <v>55536.3</v>
      </c>
      <c r="H294" s="10">
        <f t="shared" si="110"/>
        <v>58615.000000000007</v>
      </c>
      <c r="I294" s="10">
        <f t="shared" si="110"/>
        <v>59909.8</v>
      </c>
      <c r="J294" s="10">
        <f t="shared" si="110"/>
        <v>60829.799999999996</v>
      </c>
      <c r="K294" s="10">
        <f t="shared" si="110"/>
        <v>62456.6</v>
      </c>
      <c r="L294" s="10">
        <f t="shared" si="110"/>
        <v>67239.8</v>
      </c>
      <c r="M294" s="10">
        <f>M299+M309+M314+M304</f>
        <v>77441.799999999988</v>
      </c>
      <c r="N294" s="10">
        <f>N299+N309+N314+N304</f>
        <v>79025.600000000006</v>
      </c>
      <c r="O294" s="10">
        <f>O299+O309+O314+O304</f>
        <v>79180.2</v>
      </c>
      <c r="P294" s="10">
        <f>P299+P309+P314+P304</f>
        <v>69763.7</v>
      </c>
      <c r="Q294" s="10">
        <f>Q299+Q309+Q314+Q304</f>
        <v>69763.7</v>
      </c>
    </row>
    <row r="295" spans="1:17" ht="22.45" customHeight="1" x14ac:dyDescent="0.25">
      <c r="A295" s="162"/>
      <c r="B295" s="151"/>
      <c r="C295" s="96"/>
      <c r="D295" s="2" t="s">
        <v>19</v>
      </c>
      <c r="E295" s="3">
        <f t="shared" si="105"/>
        <v>0</v>
      </c>
      <c r="F295" s="10"/>
      <c r="G295" s="1">
        <f t="shared" ref="G295:L298" si="111">G300+G305+G310+G315</f>
        <v>0</v>
      </c>
      <c r="H295" s="1">
        <f t="shared" si="111"/>
        <v>0</v>
      </c>
      <c r="I295" s="1">
        <f t="shared" si="111"/>
        <v>0</v>
      </c>
      <c r="J295" s="1">
        <f t="shared" si="111"/>
        <v>0</v>
      </c>
      <c r="K295" s="1">
        <f t="shared" si="111"/>
        <v>0</v>
      </c>
      <c r="L295" s="1">
        <f t="shared" si="111"/>
        <v>0</v>
      </c>
      <c r="M295" s="1">
        <f t="shared" ref="M295:Q298" si="112">M300+M305+M310+M315</f>
        <v>0</v>
      </c>
      <c r="N295" s="1">
        <f t="shared" si="112"/>
        <v>0</v>
      </c>
      <c r="O295" s="1">
        <f t="shared" si="112"/>
        <v>0</v>
      </c>
      <c r="P295" s="1">
        <f t="shared" si="112"/>
        <v>0</v>
      </c>
      <c r="Q295" s="1">
        <f t="shared" si="112"/>
        <v>0</v>
      </c>
    </row>
    <row r="296" spans="1:17" ht="26.2" customHeight="1" x14ac:dyDescent="0.25">
      <c r="A296" s="162"/>
      <c r="B296" s="151"/>
      <c r="C296" s="52"/>
      <c r="D296" s="2" t="s">
        <v>20</v>
      </c>
      <c r="E296" s="3">
        <f>SUM(F296:Q296)</f>
        <v>739762.29999999981</v>
      </c>
      <c r="F296" s="10"/>
      <c r="G296" s="1">
        <f t="shared" si="111"/>
        <v>55536.3</v>
      </c>
      <c r="H296" s="1">
        <f t="shared" si="111"/>
        <v>58615.000000000007</v>
      </c>
      <c r="I296" s="1">
        <f t="shared" si="111"/>
        <v>59909.8</v>
      </c>
      <c r="J296" s="1">
        <f t="shared" si="111"/>
        <v>60829.799999999996</v>
      </c>
      <c r="K296" s="1">
        <f t="shared" si="111"/>
        <v>62456.6</v>
      </c>
      <c r="L296" s="1">
        <f t="shared" si="111"/>
        <v>67239.8</v>
      </c>
      <c r="M296" s="1">
        <f t="shared" si="112"/>
        <v>77441.8</v>
      </c>
      <c r="N296" s="1">
        <f t="shared" si="112"/>
        <v>79025.600000000006</v>
      </c>
      <c r="O296" s="1">
        <f t="shared" si="112"/>
        <v>79180.2</v>
      </c>
      <c r="P296" s="1">
        <f t="shared" si="112"/>
        <v>69763.7</v>
      </c>
      <c r="Q296" s="1">
        <f t="shared" si="112"/>
        <v>69763.7</v>
      </c>
    </row>
    <row r="297" spans="1:17" ht="25.55" customHeight="1" x14ac:dyDescent="0.25">
      <c r="A297" s="84"/>
      <c r="B297" s="88"/>
      <c r="C297" s="51"/>
      <c r="D297" s="2" t="s">
        <v>21</v>
      </c>
      <c r="E297" s="3">
        <f>SUM(F297:Q297)</f>
        <v>0</v>
      </c>
      <c r="F297" s="45"/>
      <c r="G297" s="11">
        <f t="shared" si="111"/>
        <v>0</v>
      </c>
      <c r="H297" s="11">
        <f t="shared" si="111"/>
        <v>0</v>
      </c>
      <c r="I297" s="11">
        <f t="shared" si="111"/>
        <v>0</v>
      </c>
      <c r="J297" s="11">
        <f t="shared" si="111"/>
        <v>0</v>
      </c>
      <c r="K297" s="11">
        <f t="shared" si="111"/>
        <v>0</v>
      </c>
      <c r="L297" s="11">
        <f t="shared" si="111"/>
        <v>0</v>
      </c>
      <c r="M297" s="11">
        <f t="shared" si="112"/>
        <v>0</v>
      </c>
      <c r="N297" s="11">
        <f t="shared" si="112"/>
        <v>0</v>
      </c>
      <c r="O297" s="11">
        <f t="shared" si="112"/>
        <v>0</v>
      </c>
      <c r="P297" s="11">
        <f t="shared" si="112"/>
        <v>0</v>
      </c>
      <c r="Q297" s="11">
        <f t="shared" si="112"/>
        <v>0</v>
      </c>
    </row>
    <row r="298" spans="1:17" ht="32.9" customHeight="1" x14ac:dyDescent="0.25">
      <c r="A298" s="78"/>
      <c r="B298" s="115"/>
      <c r="C298" s="96"/>
      <c r="D298" s="2" t="s">
        <v>23</v>
      </c>
      <c r="E298" s="3">
        <f t="shared" ref="E298:E305" si="113">SUM(F298:Q298)</f>
        <v>0</v>
      </c>
      <c r="F298" s="10"/>
      <c r="G298" s="1">
        <f t="shared" si="111"/>
        <v>0</v>
      </c>
      <c r="H298" s="1">
        <f t="shared" si="111"/>
        <v>0</v>
      </c>
      <c r="I298" s="1">
        <f t="shared" si="111"/>
        <v>0</v>
      </c>
      <c r="J298" s="1">
        <f t="shared" si="111"/>
        <v>0</v>
      </c>
      <c r="K298" s="1">
        <f t="shared" si="111"/>
        <v>0</v>
      </c>
      <c r="L298" s="1">
        <f t="shared" si="111"/>
        <v>0</v>
      </c>
      <c r="M298" s="1">
        <f t="shared" si="112"/>
        <v>0</v>
      </c>
      <c r="N298" s="1">
        <f t="shared" si="112"/>
        <v>0</v>
      </c>
      <c r="O298" s="1">
        <f t="shared" si="112"/>
        <v>0</v>
      </c>
      <c r="P298" s="1">
        <f t="shared" si="112"/>
        <v>0</v>
      </c>
      <c r="Q298" s="1">
        <f t="shared" si="112"/>
        <v>0</v>
      </c>
    </row>
    <row r="299" spans="1:17" ht="31.75" customHeight="1" x14ac:dyDescent="0.25">
      <c r="A299" s="90" t="s">
        <v>81</v>
      </c>
      <c r="B299" s="198" t="s">
        <v>192</v>
      </c>
      <c r="C299" s="168" t="s">
        <v>82</v>
      </c>
      <c r="D299" s="2" t="s">
        <v>31</v>
      </c>
      <c r="E299" s="3">
        <f t="shared" si="113"/>
        <v>104993.60000000001</v>
      </c>
      <c r="F299" s="1">
        <f>SUM(F300:F302)</f>
        <v>0</v>
      </c>
      <c r="G299" s="1">
        <f t="shared" ref="G299:L299" si="114">SUM(G300:G302)</f>
        <v>6386.8</v>
      </c>
      <c r="H299" s="1">
        <f t="shared" si="114"/>
        <v>6386.8</v>
      </c>
      <c r="I299" s="1">
        <f t="shared" si="114"/>
        <v>6386.8</v>
      </c>
      <c r="J299" s="1">
        <f t="shared" si="114"/>
        <v>6621</v>
      </c>
      <c r="K299" s="1">
        <f t="shared" si="114"/>
        <v>7885.9</v>
      </c>
      <c r="L299" s="1">
        <f t="shared" si="114"/>
        <v>8895.6</v>
      </c>
      <c r="M299" s="1">
        <f>SUM(M300:M302)</f>
        <v>15364.5</v>
      </c>
      <c r="N299" s="1">
        <f>SUM(N300:N302)</f>
        <v>15364.5</v>
      </c>
      <c r="O299" s="1">
        <f>SUM(O300:O302)</f>
        <v>15364.5</v>
      </c>
      <c r="P299" s="1">
        <f>SUM(P300:P302)</f>
        <v>8168.6</v>
      </c>
      <c r="Q299" s="1">
        <f>SUM(Q300:Q302)</f>
        <v>8168.6</v>
      </c>
    </row>
    <row r="300" spans="1:17" ht="42.55" customHeight="1" x14ac:dyDescent="0.25">
      <c r="A300" s="84"/>
      <c r="B300" s="179"/>
      <c r="C300" s="193"/>
      <c r="D300" s="2" t="s">
        <v>19</v>
      </c>
      <c r="E300" s="3">
        <f t="shared" si="113"/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</row>
    <row r="301" spans="1:17" ht="30.3" customHeight="1" x14ac:dyDescent="0.25">
      <c r="A301" s="84"/>
      <c r="B301" s="179"/>
      <c r="C301" s="193"/>
      <c r="D301" s="2" t="s">
        <v>20</v>
      </c>
      <c r="E301" s="3">
        <f t="shared" si="113"/>
        <v>104993.60000000001</v>
      </c>
      <c r="F301" s="1"/>
      <c r="G301" s="1">
        <f>5857.1+529.7</f>
        <v>6386.8</v>
      </c>
      <c r="H301" s="1">
        <v>6386.8</v>
      </c>
      <c r="I301" s="1">
        <v>6386.8</v>
      </c>
      <c r="J301" s="1">
        <v>6621</v>
      </c>
      <c r="K301" s="1">
        <v>7885.9</v>
      </c>
      <c r="L301" s="1">
        <f>8168.6+727</f>
        <v>8895.6</v>
      </c>
      <c r="M301" s="1">
        <f>9125.6+6238.9</f>
        <v>15364.5</v>
      </c>
      <c r="N301" s="1">
        <f>9125.6+6238.9</f>
        <v>15364.5</v>
      </c>
      <c r="O301" s="1">
        <f>9125.6+6238.9</f>
        <v>15364.5</v>
      </c>
      <c r="P301" s="1">
        <v>8168.6</v>
      </c>
      <c r="Q301" s="1">
        <v>8168.6</v>
      </c>
    </row>
    <row r="302" spans="1:17" ht="26.2" customHeight="1" x14ac:dyDescent="0.25">
      <c r="A302" s="84"/>
      <c r="B302" s="179"/>
      <c r="C302" s="193"/>
      <c r="D302" s="2" t="s">
        <v>21</v>
      </c>
      <c r="E302" s="3">
        <f t="shared" si="113"/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</row>
    <row r="303" spans="1:17" ht="30.8" customHeight="1" x14ac:dyDescent="0.25">
      <c r="A303" s="84"/>
      <c r="B303" s="179"/>
      <c r="C303" s="194"/>
      <c r="D303" s="2" t="s">
        <v>23</v>
      </c>
      <c r="E303" s="3">
        <f t="shared" si="113"/>
        <v>0</v>
      </c>
      <c r="F303" s="3">
        <f>SUM(G303:L303)</f>
        <v>0</v>
      </c>
      <c r="G303" s="3">
        <f>SUM(H303:L303)</f>
        <v>0</v>
      </c>
      <c r="H303" s="3">
        <f>SUM(I303:L303)</f>
        <v>0</v>
      </c>
      <c r="I303" s="3">
        <f>SUM(J303:L303)</f>
        <v>0</v>
      </c>
      <c r="J303" s="3">
        <f>SUM(K303:L303)</f>
        <v>0</v>
      </c>
      <c r="K303" s="3">
        <f>SUM(L303:L303)</f>
        <v>0</v>
      </c>
      <c r="L303" s="3">
        <f t="shared" ref="L303:Q303" si="115">SUM(R303:R303)</f>
        <v>0</v>
      </c>
      <c r="M303" s="3">
        <f t="shared" si="115"/>
        <v>0</v>
      </c>
      <c r="N303" s="3">
        <f t="shared" si="115"/>
        <v>0</v>
      </c>
      <c r="O303" s="3">
        <f t="shared" si="115"/>
        <v>0</v>
      </c>
      <c r="P303" s="3">
        <f t="shared" si="115"/>
        <v>0</v>
      </c>
      <c r="Q303" s="3">
        <f t="shared" si="115"/>
        <v>0</v>
      </c>
    </row>
    <row r="304" spans="1:17" ht="30.8" customHeight="1" x14ac:dyDescent="0.25">
      <c r="A304" s="114" t="s">
        <v>83</v>
      </c>
      <c r="B304" s="202" t="s">
        <v>181</v>
      </c>
      <c r="C304" s="168" t="s">
        <v>82</v>
      </c>
      <c r="D304" s="2" t="s">
        <v>31</v>
      </c>
      <c r="E304" s="3">
        <f t="shared" si="113"/>
        <v>60763.5</v>
      </c>
      <c r="F304" s="1">
        <f>SUM(F305:F307)</f>
        <v>0</v>
      </c>
      <c r="G304" s="1">
        <f t="shared" ref="G304:L304" si="116">SUM(G305:G307)</f>
        <v>4088.6</v>
      </c>
      <c r="H304" s="1">
        <f t="shared" si="116"/>
        <v>4567.3999999999996</v>
      </c>
      <c r="I304" s="1">
        <f t="shared" si="116"/>
        <v>4925</v>
      </c>
      <c r="J304" s="1">
        <f t="shared" si="116"/>
        <v>5143.3999999999996</v>
      </c>
      <c r="K304" s="1">
        <f t="shared" si="116"/>
        <v>2642.5</v>
      </c>
      <c r="L304" s="1">
        <f t="shared" si="116"/>
        <v>4877</v>
      </c>
      <c r="M304" s="1">
        <f>SUM(M305:M307)</f>
        <v>7301.2</v>
      </c>
      <c r="N304" s="1">
        <f>SUM(N305:N307)</f>
        <v>7029.0999999999995</v>
      </c>
      <c r="O304" s="1">
        <f>SUM(O305:O307)</f>
        <v>7183.7000000000007</v>
      </c>
      <c r="P304" s="1">
        <f>SUM(P305:P307)</f>
        <v>6502.8</v>
      </c>
      <c r="Q304" s="1">
        <f>SUM(Q305:Q307)</f>
        <v>6502.8</v>
      </c>
    </row>
    <row r="305" spans="1:17" ht="35.549999999999997" customHeight="1" x14ac:dyDescent="0.25">
      <c r="A305" s="82"/>
      <c r="B305" s="179"/>
      <c r="C305" s="169"/>
      <c r="D305" s="2" t="s">
        <v>19</v>
      </c>
      <c r="E305" s="3">
        <f t="shared" si="113"/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</row>
    <row r="306" spans="1:17" ht="29.45" customHeight="1" x14ac:dyDescent="0.25">
      <c r="A306" s="82"/>
      <c r="B306" s="179"/>
      <c r="C306" s="169"/>
      <c r="D306" s="2" t="s">
        <v>20</v>
      </c>
      <c r="E306" s="3">
        <f>SUM(F306:Q306)</f>
        <v>60763.5</v>
      </c>
      <c r="F306" s="1"/>
      <c r="G306" s="1">
        <v>4088.6</v>
      </c>
      <c r="H306" s="1">
        <f>3677+890.4</f>
        <v>4567.3999999999996</v>
      </c>
      <c r="I306" s="1">
        <f>3872-819.1+1189.6+682.5</f>
        <v>4925</v>
      </c>
      <c r="J306" s="1">
        <v>5143.3999999999996</v>
      </c>
      <c r="K306" s="1">
        <v>2642.5</v>
      </c>
      <c r="L306" s="1">
        <f>4939.7-62.7</f>
        <v>4877</v>
      </c>
      <c r="M306" s="1">
        <f>7977.9-676.7</f>
        <v>7301.2</v>
      </c>
      <c r="N306" s="1">
        <f>8061.9-1032.8</f>
        <v>7029.0999999999995</v>
      </c>
      <c r="O306" s="1">
        <f>8239.1-1055.4</f>
        <v>7183.7000000000007</v>
      </c>
      <c r="P306" s="1">
        <v>6502.8</v>
      </c>
      <c r="Q306" s="1">
        <v>6502.8</v>
      </c>
    </row>
    <row r="307" spans="1:17" ht="32.75" customHeight="1" x14ac:dyDescent="0.25">
      <c r="A307" s="82"/>
      <c r="B307" s="98"/>
      <c r="C307" s="169"/>
      <c r="D307" s="2" t="s">
        <v>21</v>
      </c>
      <c r="E307" s="3">
        <f>SUM(F307:Q307)</f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</row>
    <row r="308" spans="1:17" ht="36.65" customHeight="1" x14ac:dyDescent="0.25">
      <c r="A308" s="89"/>
      <c r="B308" s="99"/>
      <c r="C308" s="170"/>
      <c r="D308" s="2" t="s">
        <v>23</v>
      </c>
      <c r="E308" s="3">
        <f>SUM(F308:Q308)</f>
        <v>0</v>
      </c>
      <c r="F308" s="1"/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</row>
    <row r="309" spans="1:17" ht="33.75" customHeight="1" x14ac:dyDescent="0.25">
      <c r="A309" s="90" t="s">
        <v>84</v>
      </c>
      <c r="B309" s="202" t="s">
        <v>182</v>
      </c>
      <c r="C309" s="168" t="s">
        <v>82</v>
      </c>
      <c r="D309" s="2" t="s">
        <v>31</v>
      </c>
      <c r="E309" s="3">
        <f t="shared" ref="E309:E318" si="117">SUM(F309:Q309)</f>
        <v>2721.2</v>
      </c>
      <c r="F309" s="1">
        <f>SUM(F310:F312)</f>
        <v>0</v>
      </c>
      <c r="G309" s="1">
        <f t="shared" ref="G309:L309" si="118">SUM(G310:G312)</f>
        <v>274.10000000000002</v>
      </c>
      <c r="H309" s="1">
        <f t="shared" si="118"/>
        <v>120.30000000000001</v>
      </c>
      <c r="I309" s="1">
        <f t="shared" si="118"/>
        <v>263.10000000000002</v>
      </c>
      <c r="J309" s="1">
        <f t="shared" si="118"/>
        <v>69.7</v>
      </c>
      <c r="K309" s="1">
        <f t="shared" si="118"/>
        <v>265.8</v>
      </c>
      <c r="L309" s="1">
        <f t="shared" si="118"/>
        <v>255.09999999999997</v>
      </c>
      <c r="M309" s="1">
        <f>SUM(M310:M312)</f>
        <v>264.89999999999998</v>
      </c>
      <c r="N309" s="1">
        <f>SUM(N310:N312)</f>
        <v>273.5</v>
      </c>
      <c r="O309" s="1">
        <f>SUM(O310:O312)</f>
        <v>273.5</v>
      </c>
      <c r="P309" s="1">
        <f>SUM(P310:P312)</f>
        <v>330.6</v>
      </c>
      <c r="Q309" s="1">
        <f>SUM(Q310:Q312)</f>
        <v>330.6</v>
      </c>
    </row>
    <row r="310" spans="1:17" ht="33.75" customHeight="1" x14ac:dyDescent="0.25">
      <c r="A310" s="90"/>
      <c r="B310" s="179"/>
      <c r="C310" s="169"/>
      <c r="D310" s="2" t="s">
        <v>19</v>
      </c>
      <c r="E310" s="3">
        <f t="shared" si="117"/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</row>
    <row r="311" spans="1:17" ht="34.700000000000003" customHeight="1" x14ac:dyDescent="0.25">
      <c r="A311" s="90"/>
      <c r="B311" s="179"/>
      <c r="C311" s="169"/>
      <c r="D311" s="2" t="s">
        <v>20</v>
      </c>
      <c r="E311" s="3">
        <f t="shared" si="117"/>
        <v>2721.2</v>
      </c>
      <c r="F311" s="1"/>
      <c r="G311" s="1">
        <f>1006.3+5.2-54.8-682.5-0.1</f>
        <v>274.10000000000002</v>
      </c>
      <c r="H311" s="1">
        <f>301.1-180.8</f>
        <v>120.30000000000001</v>
      </c>
      <c r="I311" s="1">
        <v>263.10000000000002</v>
      </c>
      <c r="J311" s="1">
        <v>69.7</v>
      </c>
      <c r="K311" s="1">
        <v>265.8</v>
      </c>
      <c r="L311" s="1">
        <f>318.4-63.3</f>
        <v>255.09999999999997</v>
      </c>
      <c r="M311" s="1">
        <v>264.89999999999998</v>
      </c>
      <c r="N311" s="1">
        <v>273.5</v>
      </c>
      <c r="O311" s="1">
        <v>273.5</v>
      </c>
      <c r="P311" s="1">
        <v>330.6</v>
      </c>
      <c r="Q311" s="1">
        <v>330.6</v>
      </c>
    </row>
    <row r="312" spans="1:17" ht="24.25" customHeight="1" x14ac:dyDescent="0.25">
      <c r="A312" s="38"/>
      <c r="B312" s="179"/>
      <c r="C312" s="169"/>
      <c r="D312" s="2" t="s">
        <v>21</v>
      </c>
      <c r="E312" s="3">
        <f t="shared" si="117"/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</row>
    <row r="313" spans="1:17" ht="38.15" customHeight="1" x14ac:dyDescent="0.25">
      <c r="A313" s="38"/>
      <c r="B313" s="97"/>
      <c r="C313" s="170"/>
      <c r="D313" s="2" t="s">
        <v>23</v>
      </c>
      <c r="E313" s="3">
        <f t="shared" si="117"/>
        <v>0</v>
      </c>
      <c r="F313" s="1"/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</row>
    <row r="314" spans="1:17" ht="29.45" customHeight="1" x14ac:dyDescent="0.25">
      <c r="A314" s="83" t="s">
        <v>85</v>
      </c>
      <c r="B314" s="202" t="s">
        <v>183</v>
      </c>
      <c r="C314" s="168" t="s">
        <v>82</v>
      </c>
      <c r="D314" s="2" t="s">
        <v>31</v>
      </c>
      <c r="E314" s="3">
        <f t="shared" si="117"/>
        <v>571284</v>
      </c>
      <c r="F314" s="1">
        <f t="shared" ref="F314:L314" si="119">SUM(F315:F317)</f>
        <v>0</v>
      </c>
      <c r="G314" s="1">
        <f t="shared" si="119"/>
        <v>44786.8</v>
      </c>
      <c r="H314" s="1">
        <f t="shared" si="119"/>
        <v>47540.500000000007</v>
      </c>
      <c r="I314" s="1">
        <f t="shared" si="119"/>
        <v>48334.9</v>
      </c>
      <c r="J314" s="1">
        <f t="shared" si="119"/>
        <v>48995.7</v>
      </c>
      <c r="K314" s="1">
        <f t="shared" si="119"/>
        <v>51662.400000000001</v>
      </c>
      <c r="L314" s="1">
        <f t="shared" si="119"/>
        <v>53212.1</v>
      </c>
      <c r="M314" s="1">
        <f>SUM(M315:M317)</f>
        <v>54511.199999999997</v>
      </c>
      <c r="N314" s="1">
        <f>SUM(N315:N317)</f>
        <v>56358.5</v>
      </c>
      <c r="O314" s="1">
        <f>SUM(O315:O317)</f>
        <v>56358.5</v>
      </c>
      <c r="P314" s="1">
        <f>SUM(P315:P317)</f>
        <v>54761.7</v>
      </c>
      <c r="Q314" s="1">
        <f>SUM(Q315:Q317)</f>
        <v>54761.7</v>
      </c>
    </row>
    <row r="315" spans="1:17" ht="21.8" customHeight="1" x14ac:dyDescent="0.25">
      <c r="A315" s="90"/>
      <c r="B315" s="179"/>
      <c r="C315" s="193"/>
      <c r="D315" s="2" t="s">
        <v>19</v>
      </c>
      <c r="E315" s="3">
        <f t="shared" si="117"/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</row>
    <row r="316" spans="1:17" ht="26.2" customHeight="1" x14ac:dyDescent="0.25">
      <c r="A316" s="90"/>
      <c r="B316" s="179"/>
      <c r="C316" s="193"/>
      <c r="D316" s="2" t="s">
        <v>20</v>
      </c>
      <c r="E316" s="3">
        <f t="shared" si="117"/>
        <v>571284</v>
      </c>
      <c r="F316" s="1"/>
      <c r="G316" s="1">
        <f>38536.8-1315.8+1315.8+5756.6+493.4</f>
        <v>44786.8</v>
      </c>
      <c r="H316" s="1">
        <f>38692.8+4276.3+4571.4</f>
        <v>47540.500000000007</v>
      </c>
      <c r="I316" s="1">
        <f>41238.4+7589.8+60.2-553.5</f>
        <v>48334.9</v>
      </c>
      <c r="J316" s="1">
        <v>48995.7</v>
      </c>
      <c r="K316" s="1">
        <v>51662.400000000001</v>
      </c>
      <c r="L316" s="1">
        <f>52922.2-34.9+411.8-87</f>
        <v>53212.1</v>
      </c>
      <c r="M316" s="1">
        <v>54511.199999999997</v>
      </c>
      <c r="N316" s="1">
        <v>56358.5</v>
      </c>
      <c r="O316" s="1">
        <v>56358.5</v>
      </c>
      <c r="P316" s="1">
        <v>54761.7</v>
      </c>
      <c r="Q316" s="1">
        <v>54761.7</v>
      </c>
    </row>
    <row r="317" spans="1:17" ht="33.4" customHeight="1" x14ac:dyDescent="0.25">
      <c r="A317" s="90"/>
      <c r="B317" s="179"/>
      <c r="C317" s="193"/>
      <c r="D317" s="2" t="s">
        <v>21</v>
      </c>
      <c r="E317" s="3">
        <f t="shared" si="117"/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</row>
    <row r="318" spans="1:17" ht="40.6" customHeight="1" x14ac:dyDescent="0.25">
      <c r="A318" s="38"/>
      <c r="B318" s="97"/>
      <c r="C318" s="194"/>
      <c r="D318" s="2" t="s">
        <v>23</v>
      </c>
      <c r="E318" s="3">
        <f t="shared" si="117"/>
        <v>0</v>
      </c>
      <c r="F318" s="1"/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</row>
    <row r="319" spans="1:17" ht="19" customHeight="1" x14ac:dyDescent="0.25">
      <c r="A319" s="231" t="s">
        <v>86</v>
      </c>
      <c r="B319" s="166" t="s">
        <v>87</v>
      </c>
      <c r="C319" s="56"/>
      <c r="D319" s="24" t="s">
        <v>4</v>
      </c>
      <c r="E319" s="9">
        <f>SUM(G319:Q319)</f>
        <v>144195.6</v>
      </c>
      <c r="F319" s="10"/>
      <c r="G319" s="10">
        <f t="shared" ref="G319:L319" si="120">G324+G329</f>
        <v>15010.3</v>
      </c>
      <c r="H319" s="10">
        <f t="shared" si="120"/>
        <v>13722.2</v>
      </c>
      <c r="I319" s="10">
        <f t="shared" si="120"/>
        <v>15178.4</v>
      </c>
      <c r="J319" s="10">
        <f>J324+J329</f>
        <v>16395</v>
      </c>
      <c r="K319" s="10">
        <f t="shared" si="120"/>
        <v>15875.9</v>
      </c>
      <c r="L319" s="10">
        <f t="shared" si="120"/>
        <v>1328.8</v>
      </c>
      <c r="M319" s="10">
        <f>M324+M329</f>
        <v>16621.400000000001</v>
      </c>
      <c r="N319" s="10">
        <f>N324+N329</f>
        <v>14496.5</v>
      </c>
      <c r="O319" s="10">
        <f>O324+O329</f>
        <v>7532.3</v>
      </c>
      <c r="P319" s="10">
        <f>P324+P329</f>
        <v>14017.400000000001</v>
      </c>
      <c r="Q319" s="10">
        <f>Q324+Q329</f>
        <v>14017.400000000001</v>
      </c>
    </row>
    <row r="320" spans="1:17" ht="30.8" customHeight="1" x14ac:dyDescent="0.25">
      <c r="A320" s="162"/>
      <c r="B320" s="185"/>
      <c r="C320" s="57"/>
      <c r="D320" s="2" t="s">
        <v>19</v>
      </c>
      <c r="E320" s="3">
        <f t="shared" ref="E320:E329" si="121">SUM(F320:Q320)</f>
        <v>0</v>
      </c>
      <c r="F320" s="10"/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</row>
    <row r="321" spans="1:17" ht="28.15" customHeight="1" x14ac:dyDescent="0.25">
      <c r="A321" s="162"/>
      <c r="B321" s="185"/>
      <c r="C321" s="57"/>
      <c r="D321" s="2" t="s">
        <v>20</v>
      </c>
      <c r="E321" s="3">
        <f t="shared" si="121"/>
        <v>69315.299999999988</v>
      </c>
      <c r="F321" s="10"/>
      <c r="G321" s="1">
        <f t="shared" ref="G321:L322" si="122">G326+G331</f>
        <v>9447.2000000000007</v>
      </c>
      <c r="H321" s="1">
        <f t="shared" si="122"/>
        <v>6816.3</v>
      </c>
      <c r="I321" s="1">
        <f t="shared" si="122"/>
        <v>7103.6</v>
      </c>
      <c r="J321" s="1">
        <f t="shared" si="122"/>
        <v>7657</v>
      </c>
      <c r="K321" s="1">
        <f t="shared" si="122"/>
        <v>7381.7999999999993</v>
      </c>
      <c r="L321" s="1">
        <f>L326+L331</f>
        <v>0</v>
      </c>
      <c r="M321" s="1">
        <f t="shared" ref="M321:Q322" si="123">M326+M331</f>
        <v>7491.5</v>
      </c>
      <c r="N321" s="1">
        <f t="shared" si="123"/>
        <v>7491.5</v>
      </c>
      <c r="O321" s="1">
        <f t="shared" si="123"/>
        <v>945.2</v>
      </c>
      <c r="P321" s="1">
        <f t="shared" si="123"/>
        <v>7490.6</v>
      </c>
      <c r="Q321" s="1">
        <f t="shared" si="123"/>
        <v>7490.6</v>
      </c>
    </row>
    <row r="322" spans="1:17" ht="31.6" customHeight="1" x14ac:dyDescent="0.25">
      <c r="A322" s="115"/>
      <c r="B322" s="99"/>
      <c r="C322" s="58"/>
      <c r="D322" s="2" t="s">
        <v>21</v>
      </c>
      <c r="E322" s="3">
        <f t="shared" si="121"/>
        <v>74880.3</v>
      </c>
      <c r="F322" s="10"/>
      <c r="G322" s="1">
        <f t="shared" si="122"/>
        <v>5563.1</v>
      </c>
      <c r="H322" s="1">
        <f t="shared" si="122"/>
        <v>6905.9</v>
      </c>
      <c r="I322" s="1">
        <f t="shared" si="122"/>
        <v>8074.8</v>
      </c>
      <c r="J322" s="1">
        <f t="shared" si="122"/>
        <v>8738</v>
      </c>
      <c r="K322" s="1">
        <f t="shared" si="122"/>
        <v>8494.1</v>
      </c>
      <c r="L322" s="1">
        <f t="shared" si="122"/>
        <v>1328.8</v>
      </c>
      <c r="M322" s="1">
        <f t="shared" si="123"/>
        <v>9129.9</v>
      </c>
      <c r="N322" s="1">
        <f t="shared" si="123"/>
        <v>7005.0000000000009</v>
      </c>
      <c r="O322" s="1">
        <f t="shared" si="123"/>
        <v>6587.1</v>
      </c>
      <c r="P322" s="1">
        <f t="shared" si="123"/>
        <v>6526.8</v>
      </c>
      <c r="Q322" s="1">
        <f t="shared" si="123"/>
        <v>6526.8</v>
      </c>
    </row>
    <row r="323" spans="1:17" ht="33.049999999999997" customHeight="1" x14ac:dyDescent="0.25">
      <c r="A323" s="117"/>
      <c r="B323" s="94"/>
      <c r="C323" s="57"/>
      <c r="D323" s="34" t="s">
        <v>23</v>
      </c>
      <c r="E323" s="3">
        <f t="shared" si="121"/>
        <v>0</v>
      </c>
      <c r="F323" s="45"/>
      <c r="G323" s="11">
        <f t="shared" ref="G323:L323" si="124">G328</f>
        <v>0</v>
      </c>
      <c r="H323" s="11">
        <f t="shared" si="124"/>
        <v>0</v>
      </c>
      <c r="I323" s="11">
        <f t="shared" si="124"/>
        <v>0</v>
      </c>
      <c r="J323" s="11">
        <f t="shared" si="124"/>
        <v>0</v>
      </c>
      <c r="K323" s="11">
        <f t="shared" si="124"/>
        <v>0</v>
      </c>
      <c r="L323" s="11">
        <f t="shared" si="124"/>
        <v>0</v>
      </c>
      <c r="M323" s="11">
        <f>M328</f>
        <v>0</v>
      </c>
      <c r="N323" s="11">
        <f>N328</f>
        <v>0</v>
      </c>
      <c r="O323" s="11">
        <f>O328</f>
        <v>0</v>
      </c>
      <c r="P323" s="11">
        <f>P328</f>
        <v>0</v>
      </c>
      <c r="Q323" s="11">
        <f>Q328</f>
        <v>0</v>
      </c>
    </row>
    <row r="324" spans="1:17" ht="34.549999999999997" customHeight="1" x14ac:dyDescent="0.25">
      <c r="A324" s="83" t="s">
        <v>88</v>
      </c>
      <c r="B324" s="163" t="s">
        <v>89</v>
      </c>
      <c r="C324" s="168" t="s">
        <v>82</v>
      </c>
      <c r="D324" s="2" t="s">
        <v>31</v>
      </c>
      <c r="E324" s="3">
        <f t="shared" si="121"/>
        <v>129056</v>
      </c>
      <c r="F324" s="1">
        <f t="shared" ref="F324:L324" si="125">SUM(F325:F327)</f>
        <v>0</v>
      </c>
      <c r="G324" s="1">
        <f t="shared" si="125"/>
        <v>12339.5</v>
      </c>
      <c r="H324" s="1">
        <f t="shared" si="125"/>
        <v>12722.2</v>
      </c>
      <c r="I324" s="1">
        <f t="shared" si="125"/>
        <v>14179.8</v>
      </c>
      <c r="J324" s="1">
        <f>SUM(J325:J327)</f>
        <v>15405.3</v>
      </c>
      <c r="K324" s="1">
        <f t="shared" si="125"/>
        <v>14727.199999999999</v>
      </c>
      <c r="L324" s="1">
        <f t="shared" si="125"/>
        <v>0</v>
      </c>
      <c r="M324" s="1">
        <f>SUM(M325:M327)</f>
        <v>13618.4</v>
      </c>
      <c r="N324" s="1">
        <f>SUM(N325:N327)</f>
        <v>13496.5</v>
      </c>
      <c r="O324" s="1">
        <f>SUM(O325:O327)</f>
        <v>6532.3</v>
      </c>
      <c r="P324" s="1">
        <f>SUM(P325:P327)</f>
        <v>13017.400000000001</v>
      </c>
      <c r="Q324" s="1">
        <f>SUM(Q325:Q327)</f>
        <v>13017.400000000001</v>
      </c>
    </row>
    <row r="325" spans="1:17" ht="24.05" customHeight="1" x14ac:dyDescent="0.25">
      <c r="A325" s="38"/>
      <c r="B325" s="176"/>
      <c r="C325" s="169"/>
      <c r="D325" s="2" t="s">
        <v>19</v>
      </c>
      <c r="E325" s="3">
        <f t="shared" si="121"/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</row>
    <row r="326" spans="1:17" ht="21.8" customHeight="1" x14ac:dyDescent="0.25">
      <c r="A326" s="38"/>
      <c r="B326" s="225"/>
      <c r="C326" s="169"/>
      <c r="D326" s="2" t="s">
        <v>20</v>
      </c>
      <c r="E326" s="3">
        <f t="shared" si="121"/>
        <v>69315.299999999988</v>
      </c>
      <c r="F326" s="1">
        <v>0</v>
      </c>
      <c r="G326" s="1">
        <f>8723.6+723.6</f>
        <v>9447.2000000000007</v>
      </c>
      <c r="H326" s="1">
        <f>9667.5-2348.4-502.8</f>
        <v>6816.3</v>
      </c>
      <c r="I326" s="1">
        <f>4661.7+2441.9</f>
        <v>7103.6</v>
      </c>
      <c r="J326" s="1">
        <f>5314.1-2.3+2345.2</f>
        <v>7657</v>
      </c>
      <c r="K326" s="1">
        <f>6608.4-0.3+773.7</f>
        <v>7381.7999999999993</v>
      </c>
      <c r="L326" s="1">
        <f>7490.6-4159.7-3330.9</f>
        <v>0</v>
      </c>
      <c r="M326" s="1">
        <v>7491.5</v>
      </c>
      <c r="N326" s="1">
        <v>7491.5</v>
      </c>
      <c r="O326" s="1">
        <v>945.2</v>
      </c>
      <c r="P326" s="1">
        <v>7490.6</v>
      </c>
      <c r="Q326" s="1">
        <v>7490.6</v>
      </c>
    </row>
    <row r="327" spans="1:17" ht="32.1" customHeight="1" x14ac:dyDescent="0.25">
      <c r="A327" s="38"/>
      <c r="B327" s="88"/>
      <c r="C327" s="169"/>
      <c r="D327" s="2" t="s">
        <v>21</v>
      </c>
      <c r="E327" s="3">
        <f t="shared" si="121"/>
        <v>59740.700000000004</v>
      </c>
      <c r="F327" s="1"/>
      <c r="G327" s="1">
        <f>5413-2520.7</f>
        <v>2892.3</v>
      </c>
      <c r="H327" s="1">
        <f>5000+972.5-66.6</f>
        <v>5905.9</v>
      </c>
      <c r="I327" s="1">
        <f>6000+1055.8+20.4</f>
        <v>7076.2</v>
      </c>
      <c r="J327" s="1">
        <v>7748.3</v>
      </c>
      <c r="K327" s="1">
        <v>7345.4</v>
      </c>
      <c r="L327" s="1">
        <f>5526.8+478.1-6004.9</f>
        <v>0</v>
      </c>
      <c r="M327" s="1">
        <f>3234.1+300+478.1+0.1+2114.6</f>
        <v>6126.9</v>
      </c>
      <c r="N327" s="1">
        <f>5526.8+478.1+0.1</f>
        <v>6005.0000000000009</v>
      </c>
      <c r="O327" s="1">
        <f>5526.8+60.3</f>
        <v>5587.1</v>
      </c>
      <c r="P327" s="1">
        <v>5526.8</v>
      </c>
      <c r="Q327" s="1">
        <v>5526.8</v>
      </c>
    </row>
    <row r="328" spans="1:17" ht="31.75" customHeight="1" x14ac:dyDescent="0.25">
      <c r="A328" s="28"/>
      <c r="B328" s="115"/>
      <c r="C328" s="170"/>
      <c r="D328" s="2" t="s">
        <v>23</v>
      </c>
      <c r="E328" s="3">
        <f t="shared" si="121"/>
        <v>0</v>
      </c>
      <c r="F328" s="1"/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</row>
    <row r="329" spans="1:17" ht="43.2" customHeight="1" x14ac:dyDescent="0.25">
      <c r="A329" s="90" t="s">
        <v>90</v>
      </c>
      <c r="B329" s="121" t="s">
        <v>91</v>
      </c>
      <c r="C329" s="168" t="s">
        <v>92</v>
      </c>
      <c r="D329" s="2" t="s">
        <v>31</v>
      </c>
      <c r="E329" s="3">
        <f t="shared" si="121"/>
        <v>15139.6</v>
      </c>
      <c r="F329" s="1">
        <f t="shared" ref="F329:Q329" si="126">SUM(F330:F332)</f>
        <v>0</v>
      </c>
      <c r="G329" s="1">
        <f t="shared" si="126"/>
        <v>2670.8</v>
      </c>
      <c r="H329" s="1">
        <f t="shared" si="126"/>
        <v>1000</v>
      </c>
      <c r="I329" s="1">
        <f t="shared" si="126"/>
        <v>998.6</v>
      </c>
      <c r="J329" s="1">
        <f t="shared" si="126"/>
        <v>989.7</v>
      </c>
      <c r="K329" s="1">
        <f t="shared" si="126"/>
        <v>1148.7</v>
      </c>
      <c r="L329" s="1">
        <f t="shared" si="126"/>
        <v>1328.8</v>
      </c>
      <c r="M329" s="1">
        <f t="shared" si="126"/>
        <v>3003</v>
      </c>
      <c r="N329" s="1">
        <f t="shared" si="126"/>
        <v>1000</v>
      </c>
      <c r="O329" s="1">
        <f t="shared" si="126"/>
        <v>1000</v>
      </c>
      <c r="P329" s="1">
        <f t="shared" si="126"/>
        <v>1000</v>
      </c>
      <c r="Q329" s="1">
        <f t="shared" si="126"/>
        <v>1000</v>
      </c>
    </row>
    <row r="330" spans="1:17" ht="33.4" customHeight="1" x14ac:dyDescent="0.25">
      <c r="A330" s="84"/>
      <c r="B330" s="98"/>
      <c r="C330" s="169"/>
      <c r="D330" s="2" t="s">
        <v>19</v>
      </c>
      <c r="E330" s="3">
        <f>SUM(F330:Q330)</f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</row>
    <row r="331" spans="1:17" ht="30.3" customHeight="1" x14ac:dyDescent="0.25">
      <c r="A331" s="84"/>
      <c r="B331" s="98"/>
      <c r="C331" s="169"/>
      <c r="D331" s="2" t="s">
        <v>20</v>
      </c>
      <c r="E331" s="3">
        <f>SUM(F331:Q331)</f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</row>
    <row r="332" spans="1:17" ht="39.950000000000003" customHeight="1" x14ac:dyDescent="0.25">
      <c r="A332" s="84"/>
      <c r="B332" s="98"/>
      <c r="C332" s="169"/>
      <c r="D332" s="2" t="s">
        <v>21</v>
      </c>
      <c r="E332" s="3">
        <f>SUM(F332:Q332)</f>
        <v>15139.6</v>
      </c>
      <c r="F332" s="1"/>
      <c r="G332" s="1">
        <f>2671.4-0.6</f>
        <v>2670.8</v>
      </c>
      <c r="H332" s="1">
        <v>1000</v>
      </c>
      <c r="I332" s="1">
        <f>1000-1.4</f>
        <v>998.6</v>
      </c>
      <c r="J332" s="1">
        <v>989.7</v>
      </c>
      <c r="K332" s="1">
        <v>1148.7</v>
      </c>
      <c r="L332" s="1">
        <f>2000-671.2</f>
        <v>1328.8</v>
      </c>
      <c r="M332" s="1">
        <f>1400-1400+3000+3</f>
        <v>3003</v>
      </c>
      <c r="N332" s="1">
        <v>1000</v>
      </c>
      <c r="O332" s="1">
        <v>1000</v>
      </c>
      <c r="P332" s="1">
        <v>1000</v>
      </c>
      <c r="Q332" s="1">
        <v>1000</v>
      </c>
    </row>
    <row r="333" spans="1:17" ht="34.200000000000003" customHeight="1" x14ac:dyDescent="0.25">
      <c r="A333" s="78"/>
      <c r="B333" s="99"/>
      <c r="C333" s="170"/>
      <c r="D333" s="2" t="s">
        <v>23</v>
      </c>
      <c r="E333" s="3">
        <f>SUM(F333:Q333)</f>
        <v>0</v>
      </c>
      <c r="F333" s="1"/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</row>
    <row r="334" spans="1:17" ht="15.05" hidden="1" customHeight="1" x14ac:dyDescent="0.25">
      <c r="A334" s="153" t="s">
        <v>93</v>
      </c>
      <c r="B334" s="198" t="s">
        <v>44</v>
      </c>
      <c r="C334" s="190" t="s">
        <v>92</v>
      </c>
      <c r="D334" s="2" t="s">
        <v>31</v>
      </c>
      <c r="E334" s="3">
        <f>SUM(F334:L334)</f>
        <v>0</v>
      </c>
      <c r="F334" s="1">
        <f>SUM(F335:F337)</f>
        <v>0</v>
      </c>
      <c r="G334" s="1">
        <f t="shared" ref="G334:L334" si="127">SUM(G335:G337)</f>
        <v>0</v>
      </c>
      <c r="H334" s="1">
        <f t="shared" si="127"/>
        <v>0</v>
      </c>
      <c r="I334" s="1">
        <f t="shared" si="127"/>
        <v>0</v>
      </c>
      <c r="J334" s="1">
        <f t="shared" si="127"/>
        <v>0</v>
      </c>
      <c r="K334" s="1">
        <f t="shared" si="127"/>
        <v>0</v>
      </c>
      <c r="L334" s="1">
        <f t="shared" si="127"/>
        <v>0</v>
      </c>
      <c r="M334" s="1">
        <f>SUM(M335:M337)</f>
        <v>0</v>
      </c>
      <c r="N334" s="1"/>
      <c r="O334" s="1"/>
      <c r="P334" s="1"/>
      <c r="Q334" s="1"/>
    </row>
    <row r="335" spans="1:17" ht="18" hidden="1" customHeight="1" x14ac:dyDescent="0.25">
      <c r="A335" s="153"/>
      <c r="B335" s="149"/>
      <c r="C335" s="173"/>
      <c r="D335" s="2" t="s">
        <v>19</v>
      </c>
      <c r="E335" s="3">
        <f>SUM(F335:L335)</f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/>
      <c r="O335" s="1"/>
      <c r="P335" s="1"/>
      <c r="Q335" s="1"/>
    </row>
    <row r="336" spans="1:17" ht="26.2" hidden="1" customHeight="1" x14ac:dyDescent="0.25">
      <c r="A336" s="153"/>
      <c r="B336" s="149"/>
      <c r="C336" s="173"/>
      <c r="D336" s="2" t="s">
        <v>20</v>
      </c>
      <c r="E336" s="3">
        <f>SUM(F336:L336)</f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/>
      <c r="O336" s="1"/>
      <c r="P336" s="1"/>
      <c r="Q336" s="1"/>
    </row>
    <row r="337" spans="1:17" ht="1" hidden="1" customHeight="1" x14ac:dyDescent="0.25">
      <c r="A337" s="153"/>
      <c r="B337" s="149"/>
      <c r="C337" s="173"/>
      <c r="D337" s="2" t="s">
        <v>21</v>
      </c>
      <c r="E337" s="3">
        <f>SUM(F337:L337)</f>
        <v>0</v>
      </c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" hidden="1" customHeight="1" x14ac:dyDescent="0.25">
      <c r="A338" s="154"/>
      <c r="B338" s="149"/>
      <c r="C338" s="174"/>
      <c r="D338" s="2" t="s">
        <v>23</v>
      </c>
      <c r="E338" s="3">
        <f>SUM(F338:L338)</f>
        <v>0</v>
      </c>
      <c r="F338" s="1"/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/>
      <c r="O338" s="1"/>
      <c r="P338" s="1"/>
      <c r="Q338" s="1"/>
    </row>
    <row r="339" spans="1:17" ht="20.149999999999999" customHeight="1" x14ac:dyDescent="0.25">
      <c r="A339" s="141" t="s">
        <v>94</v>
      </c>
      <c r="B339" s="138" t="s">
        <v>95</v>
      </c>
      <c r="C339" s="60"/>
      <c r="D339" s="24" t="s">
        <v>4</v>
      </c>
      <c r="E339" s="9">
        <f>SUM(G339:Q339)</f>
        <v>2288.6</v>
      </c>
      <c r="F339" s="10"/>
      <c r="G339" s="10">
        <f t="shared" ref="G339:L339" si="128">G344</f>
        <v>0</v>
      </c>
      <c r="H339" s="10">
        <f t="shared" si="128"/>
        <v>0</v>
      </c>
      <c r="I339" s="10">
        <f t="shared" si="128"/>
        <v>0</v>
      </c>
      <c r="J339" s="10">
        <f t="shared" si="128"/>
        <v>0</v>
      </c>
      <c r="K339" s="10">
        <f t="shared" si="128"/>
        <v>537.79999999999995</v>
      </c>
      <c r="L339" s="10">
        <f t="shared" si="128"/>
        <v>252.70000000000002</v>
      </c>
      <c r="M339" s="10">
        <f>M344</f>
        <v>158.9</v>
      </c>
      <c r="N339" s="10">
        <f>N344</f>
        <v>334.8</v>
      </c>
      <c r="O339" s="10">
        <f>O344</f>
        <v>334.8</v>
      </c>
      <c r="P339" s="10">
        <f>P344</f>
        <v>334.8</v>
      </c>
      <c r="Q339" s="10">
        <f>Q344</f>
        <v>334.8</v>
      </c>
    </row>
    <row r="340" spans="1:17" ht="29" customHeight="1" x14ac:dyDescent="0.25">
      <c r="A340" s="142"/>
      <c r="B340" s="139"/>
      <c r="C340" s="47"/>
      <c r="D340" s="2" t="s">
        <v>19</v>
      </c>
      <c r="E340" s="3">
        <f>SUM(F340:Q340)</f>
        <v>0</v>
      </c>
      <c r="F340" s="10"/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</row>
    <row r="341" spans="1:17" ht="29" customHeight="1" x14ac:dyDescent="0.25">
      <c r="A341" s="142"/>
      <c r="B341" s="139"/>
      <c r="C341" s="47"/>
      <c r="D341" s="2" t="s">
        <v>20</v>
      </c>
      <c r="E341" s="35">
        <f>SUM(F341:M341)</f>
        <v>0</v>
      </c>
      <c r="F341" s="45"/>
      <c r="G341" s="11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</row>
    <row r="342" spans="1:17" ht="29" customHeight="1" x14ac:dyDescent="0.25">
      <c r="A342" s="142"/>
      <c r="B342" s="139"/>
      <c r="C342" s="61"/>
      <c r="D342" s="2" t="s">
        <v>21</v>
      </c>
      <c r="E342" s="3">
        <f t="shared" ref="E342:E348" si="129">SUM(F342:Q342)</f>
        <v>2288.6</v>
      </c>
      <c r="F342" s="10"/>
      <c r="G342" s="1">
        <f t="shared" ref="G342:L342" si="130">G347</f>
        <v>0</v>
      </c>
      <c r="H342" s="1">
        <f t="shared" si="130"/>
        <v>0</v>
      </c>
      <c r="I342" s="1">
        <f t="shared" si="130"/>
        <v>0</v>
      </c>
      <c r="J342" s="1">
        <f t="shared" si="130"/>
        <v>0</v>
      </c>
      <c r="K342" s="1">
        <f t="shared" si="130"/>
        <v>537.79999999999995</v>
      </c>
      <c r="L342" s="1">
        <f t="shared" si="130"/>
        <v>252.70000000000002</v>
      </c>
      <c r="M342" s="1">
        <f>M347</f>
        <v>158.9</v>
      </c>
      <c r="N342" s="1">
        <f>N347</f>
        <v>334.8</v>
      </c>
      <c r="O342" s="1">
        <f>O347</f>
        <v>334.8</v>
      </c>
      <c r="P342" s="1">
        <f>P347</f>
        <v>334.8</v>
      </c>
      <c r="Q342" s="1">
        <f>Q347</f>
        <v>334.8</v>
      </c>
    </row>
    <row r="343" spans="1:17" ht="33.4" customHeight="1" x14ac:dyDescent="0.25">
      <c r="A343" s="143"/>
      <c r="B343" s="140"/>
      <c r="C343" s="47"/>
      <c r="D343" s="2" t="s">
        <v>23</v>
      </c>
      <c r="E343" s="35">
        <f t="shared" si="129"/>
        <v>0</v>
      </c>
      <c r="F343" s="45"/>
      <c r="G343" s="11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</row>
    <row r="344" spans="1:17" ht="26.2" customHeight="1" x14ac:dyDescent="0.25">
      <c r="A344" s="114" t="s">
        <v>96</v>
      </c>
      <c r="B344" s="228" t="s">
        <v>97</v>
      </c>
      <c r="C344" s="190" t="s">
        <v>98</v>
      </c>
      <c r="D344" s="2" t="s">
        <v>31</v>
      </c>
      <c r="E344" s="3">
        <f t="shared" si="129"/>
        <v>2288.6</v>
      </c>
      <c r="F344" s="1">
        <f>SUM(F345:F347)</f>
        <v>0</v>
      </c>
      <c r="G344" s="1">
        <f t="shared" ref="G344:L344" si="131">SUM(G345:G347)</f>
        <v>0</v>
      </c>
      <c r="H344" s="1">
        <f t="shared" si="131"/>
        <v>0</v>
      </c>
      <c r="I344" s="1">
        <f t="shared" si="131"/>
        <v>0</v>
      </c>
      <c r="J344" s="1">
        <f t="shared" si="131"/>
        <v>0</v>
      </c>
      <c r="K344" s="1">
        <f t="shared" si="131"/>
        <v>537.79999999999995</v>
      </c>
      <c r="L344" s="1">
        <f t="shared" si="131"/>
        <v>252.70000000000002</v>
      </c>
      <c r="M344" s="1">
        <f>SUM(M345:M347)</f>
        <v>158.9</v>
      </c>
      <c r="N344" s="1">
        <f>SUM(N345:N347)</f>
        <v>334.8</v>
      </c>
      <c r="O344" s="1">
        <f>SUM(O345:O347)</f>
        <v>334.8</v>
      </c>
      <c r="P344" s="1">
        <f>SUM(P345:P347)</f>
        <v>334.8</v>
      </c>
      <c r="Q344" s="1">
        <f>SUM(Q345:Q347)</f>
        <v>334.8</v>
      </c>
    </row>
    <row r="345" spans="1:17" ht="27.65" customHeight="1" x14ac:dyDescent="0.25">
      <c r="A345" s="82"/>
      <c r="B345" s="176"/>
      <c r="C345" s="173"/>
      <c r="D345" s="2" t="s">
        <v>19</v>
      </c>
      <c r="E345" s="35">
        <f t="shared" si="129"/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</row>
    <row r="346" spans="1:17" ht="24.9" customHeight="1" x14ac:dyDescent="0.25">
      <c r="A346" s="233"/>
      <c r="B346" s="102"/>
      <c r="C346" s="173"/>
      <c r="D346" s="2" t="s">
        <v>20</v>
      </c>
      <c r="E346" s="35">
        <f t="shared" si="129"/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</row>
    <row r="347" spans="1:17" ht="28.15" customHeight="1" x14ac:dyDescent="0.25">
      <c r="A347" s="233"/>
      <c r="B347" s="102"/>
      <c r="C347" s="173"/>
      <c r="D347" s="2" t="s">
        <v>21</v>
      </c>
      <c r="E347" s="35">
        <f t="shared" si="129"/>
        <v>2288.6</v>
      </c>
      <c r="F347" s="1"/>
      <c r="G347" s="1">
        <v>0</v>
      </c>
      <c r="H347" s="1">
        <v>0</v>
      </c>
      <c r="I347" s="1">
        <v>0</v>
      </c>
      <c r="J347" s="1">
        <v>0</v>
      </c>
      <c r="K347" s="1">
        <v>537.79999999999995</v>
      </c>
      <c r="L347" s="1">
        <f>334.8+52.2-17-117.2-0.1</f>
        <v>252.70000000000002</v>
      </c>
      <c r="M347" s="1">
        <f>234.4-75.5</f>
        <v>158.9</v>
      </c>
      <c r="N347" s="1">
        <v>334.8</v>
      </c>
      <c r="O347" s="1">
        <v>334.8</v>
      </c>
      <c r="P347" s="1">
        <v>334.8</v>
      </c>
      <c r="Q347" s="1">
        <v>334.8</v>
      </c>
    </row>
    <row r="348" spans="1:17" ht="33.4" customHeight="1" x14ac:dyDescent="0.25">
      <c r="A348" s="89"/>
      <c r="B348" s="99"/>
      <c r="C348" s="174"/>
      <c r="D348" s="2" t="s">
        <v>23</v>
      </c>
      <c r="E348" s="35">
        <f t="shared" si="129"/>
        <v>0</v>
      </c>
      <c r="F348" s="1"/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</row>
    <row r="349" spans="1:17" ht="17.2" hidden="1" customHeight="1" x14ac:dyDescent="0.25">
      <c r="A349" s="211" t="s">
        <v>99</v>
      </c>
      <c r="B349" s="219" t="s">
        <v>100</v>
      </c>
      <c r="C349" s="62"/>
      <c r="D349" s="34" t="s">
        <v>4</v>
      </c>
      <c r="E349" s="35">
        <f t="shared" ref="E349:E358" si="132">SUM(F349:L349)</f>
        <v>0</v>
      </c>
      <c r="F349" s="1">
        <f>SUM(F350:F352)</f>
        <v>0</v>
      </c>
      <c r="G349" s="1">
        <f t="shared" ref="G349:L349" si="133">SUM(G350:G352)</f>
        <v>0</v>
      </c>
      <c r="H349" s="1">
        <f t="shared" si="133"/>
        <v>0</v>
      </c>
      <c r="I349" s="1">
        <f t="shared" si="133"/>
        <v>0</v>
      </c>
      <c r="J349" s="1">
        <f t="shared" si="133"/>
        <v>0</v>
      </c>
      <c r="K349" s="1">
        <f t="shared" si="133"/>
        <v>0</v>
      </c>
      <c r="L349" s="1">
        <f t="shared" si="133"/>
        <v>0</v>
      </c>
      <c r="M349" s="1">
        <f>SUM(M350:M352)</f>
        <v>0</v>
      </c>
      <c r="N349" s="1"/>
      <c r="O349" s="1"/>
      <c r="P349" s="1"/>
      <c r="Q349" s="1"/>
    </row>
    <row r="350" spans="1:17" ht="15.75" hidden="1" customHeight="1" x14ac:dyDescent="0.25">
      <c r="A350" s="218"/>
      <c r="B350" s="220"/>
      <c r="C350" s="63"/>
      <c r="D350" s="2" t="s">
        <v>47</v>
      </c>
      <c r="E350" s="3">
        <f t="shared" si="132"/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/>
      <c r="O350" s="1"/>
      <c r="P350" s="1"/>
      <c r="Q350" s="1"/>
    </row>
    <row r="351" spans="1:17" ht="15.75" hidden="1" customHeight="1" x14ac:dyDescent="0.25">
      <c r="A351" s="218"/>
      <c r="B351" s="220"/>
      <c r="C351" s="63"/>
      <c r="D351" s="2" t="s">
        <v>48</v>
      </c>
      <c r="E351" s="3">
        <f t="shared" si="132"/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/>
      <c r="O351" s="1"/>
      <c r="P351" s="1"/>
      <c r="Q351" s="1"/>
    </row>
    <row r="352" spans="1:17" ht="15.75" hidden="1" customHeight="1" x14ac:dyDescent="0.25">
      <c r="A352" s="218"/>
      <c r="B352" s="220"/>
      <c r="C352" s="63"/>
      <c r="D352" s="2" t="s">
        <v>49</v>
      </c>
      <c r="E352" s="3">
        <f t="shared" si="132"/>
        <v>0</v>
      </c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34.549999999999997" hidden="1" customHeight="1" x14ac:dyDescent="0.25">
      <c r="A353" s="124"/>
      <c r="B353" s="125"/>
      <c r="C353" s="63"/>
      <c r="D353" s="2" t="s">
        <v>50</v>
      </c>
      <c r="E353" s="3">
        <f t="shared" si="132"/>
        <v>0</v>
      </c>
      <c r="F353" s="1"/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/>
      <c r="O353" s="1"/>
      <c r="P353" s="1"/>
      <c r="Q353" s="1"/>
    </row>
    <row r="354" spans="1:17" ht="19" hidden="1" customHeight="1" x14ac:dyDescent="0.25">
      <c r="A354" s="191" t="s">
        <v>101</v>
      </c>
      <c r="B354" s="199" t="s">
        <v>65</v>
      </c>
      <c r="C354" s="190" t="s">
        <v>102</v>
      </c>
      <c r="D354" s="2" t="s">
        <v>31</v>
      </c>
      <c r="E354" s="3">
        <f t="shared" si="132"/>
        <v>0</v>
      </c>
      <c r="F354" s="1">
        <f>SUM(F355:F357)</f>
        <v>0</v>
      </c>
      <c r="G354" s="1">
        <f t="shared" ref="G354:L354" si="134">SUM(G355:G357)</f>
        <v>0</v>
      </c>
      <c r="H354" s="1">
        <f t="shared" si="134"/>
        <v>0</v>
      </c>
      <c r="I354" s="1">
        <f t="shared" si="134"/>
        <v>0</v>
      </c>
      <c r="J354" s="1">
        <f t="shared" si="134"/>
        <v>0</v>
      </c>
      <c r="K354" s="1">
        <f t="shared" si="134"/>
        <v>0</v>
      </c>
      <c r="L354" s="1">
        <f t="shared" si="134"/>
        <v>0</v>
      </c>
      <c r="M354" s="1">
        <f>SUM(M355:M357)</f>
        <v>0</v>
      </c>
      <c r="N354" s="1"/>
      <c r="O354" s="1"/>
      <c r="P354" s="1"/>
      <c r="Q354" s="1"/>
    </row>
    <row r="355" spans="1:17" ht="15.75" hidden="1" customHeight="1" x14ac:dyDescent="0.25">
      <c r="A355" s="153"/>
      <c r="B355" s="167"/>
      <c r="C355" s="173"/>
      <c r="D355" s="2" t="s">
        <v>19</v>
      </c>
      <c r="E355" s="3">
        <f t="shared" si="132"/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/>
      <c r="O355" s="1"/>
      <c r="P355" s="1"/>
      <c r="Q355" s="1"/>
    </row>
    <row r="356" spans="1:17" ht="15.75" hidden="1" customHeight="1" x14ac:dyDescent="0.25">
      <c r="A356" s="153"/>
      <c r="B356" s="167"/>
      <c r="C356" s="173"/>
      <c r="D356" s="2" t="s">
        <v>20</v>
      </c>
      <c r="E356" s="3">
        <f t="shared" si="132"/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/>
      <c r="O356" s="1"/>
      <c r="P356" s="1"/>
      <c r="Q356" s="1"/>
    </row>
    <row r="357" spans="1:17" ht="15.75" hidden="1" customHeight="1" x14ac:dyDescent="0.25">
      <c r="A357" s="153"/>
      <c r="B357" s="167"/>
      <c r="C357" s="173"/>
      <c r="D357" s="2" t="s">
        <v>21</v>
      </c>
      <c r="E357" s="3">
        <f t="shared" si="132"/>
        <v>0</v>
      </c>
      <c r="F357" s="1">
        <v>0</v>
      </c>
      <c r="G357" s="1">
        <v>0</v>
      </c>
      <c r="H357" s="1">
        <v>0</v>
      </c>
      <c r="I357" s="1">
        <v>0</v>
      </c>
      <c r="J357" s="1"/>
      <c r="K357" s="1">
        <v>0</v>
      </c>
      <c r="L357" s="1">
        <v>0</v>
      </c>
      <c r="M357" s="1">
        <v>0</v>
      </c>
      <c r="N357" s="1"/>
      <c r="O357" s="1"/>
      <c r="P357" s="1"/>
      <c r="Q357" s="1"/>
    </row>
    <row r="358" spans="1:17" ht="31.75" hidden="1" customHeight="1" x14ac:dyDescent="0.25">
      <c r="A358" s="154"/>
      <c r="B358" s="167"/>
      <c r="C358" s="174"/>
      <c r="D358" s="2" t="s">
        <v>23</v>
      </c>
      <c r="E358" s="3">
        <f t="shared" si="132"/>
        <v>0</v>
      </c>
      <c r="F358" s="1"/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/>
      <c r="O358" s="1"/>
      <c r="P358" s="1"/>
      <c r="Q358" s="1"/>
    </row>
    <row r="359" spans="1:17" ht="27" customHeight="1" x14ac:dyDescent="0.25">
      <c r="A359" s="123" t="s">
        <v>103</v>
      </c>
      <c r="B359" s="229" t="s">
        <v>155</v>
      </c>
      <c r="C359" s="217" t="s">
        <v>104</v>
      </c>
      <c r="D359" s="24" t="s">
        <v>4</v>
      </c>
      <c r="E359" s="64">
        <f>SUM(G359:Q359)</f>
        <v>949054.7</v>
      </c>
      <c r="F359" s="10">
        <f>SUM(F360:F362)</f>
        <v>0</v>
      </c>
      <c r="G359" s="10">
        <f t="shared" ref="G359:L359" si="135">SUM(G360:G362)</f>
        <v>62723.8</v>
      </c>
      <c r="H359" s="10">
        <f t="shared" si="135"/>
        <v>67226.7</v>
      </c>
      <c r="I359" s="10">
        <f t="shared" si="135"/>
        <v>68559.900000000009</v>
      </c>
      <c r="J359" s="10">
        <f t="shared" si="135"/>
        <v>71412.5</v>
      </c>
      <c r="K359" s="10">
        <f t="shared" si="135"/>
        <v>82842.099999999991</v>
      </c>
      <c r="L359" s="10">
        <f t="shared" si="135"/>
        <v>100753.7</v>
      </c>
      <c r="M359" s="10">
        <f>SUM(M360:M362)</f>
        <v>111446.09999999999</v>
      </c>
      <c r="N359" s="10">
        <f>SUM(N360:N362)</f>
        <v>105812.4</v>
      </c>
      <c r="O359" s="10">
        <f>SUM(O360:O362)</f>
        <v>105812.1</v>
      </c>
      <c r="P359" s="10">
        <f>SUM(P360:P362)</f>
        <v>86232.7</v>
      </c>
      <c r="Q359" s="10">
        <f>SUM(Q360:Q362)</f>
        <v>86232.7</v>
      </c>
    </row>
    <row r="360" spans="1:17" ht="21.8" customHeight="1" x14ac:dyDescent="0.25">
      <c r="A360" s="84"/>
      <c r="B360" s="179"/>
      <c r="C360" s="169"/>
      <c r="D360" s="2" t="s">
        <v>19</v>
      </c>
      <c r="E360" s="8">
        <f>SUM(F360:Q360)</f>
        <v>0</v>
      </c>
      <c r="F360" s="1">
        <f>F402</f>
        <v>0</v>
      </c>
      <c r="G360" s="1">
        <f t="shared" ref="G360:L361" si="136">G402</f>
        <v>0</v>
      </c>
      <c r="H360" s="1">
        <f t="shared" si="136"/>
        <v>0</v>
      </c>
      <c r="I360" s="1">
        <f t="shared" si="136"/>
        <v>0</v>
      </c>
      <c r="J360" s="1">
        <f t="shared" si="136"/>
        <v>0</v>
      </c>
      <c r="K360" s="1">
        <f t="shared" si="136"/>
        <v>0</v>
      </c>
      <c r="L360" s="1">
        <f t="shared" si="136"/>
        <v>0</v>
      </c>
      <c r="M360" s="1">
        <f t="shared" ref="M360:Q361" si="137">M402</f>
        <v>0</v>
      </c>
      <c r="N360" s="1">
        <f t="shared" si="137"/>
        <v>0</v>
      </c>
      <c r="O360" s="1">
        <f t="shared" si="137"/>
        <v>0</v>
      </c>
      <c r="P360" s="1">
        <f t="shared" si="137"/>
        <v>0</v>
      </c>
      <c r="Q360" s="1">
        <f t="shared" si="137"/>
        <v>0</v>
      </c>
    </row>
    <row r="361" spans="1:17" ht="38.15" customHeight="1" x14ac:dyDescent="0.25">
      <c r="A361" s="84"/>
      <c r="B361" s="179"/>
      <c r="C361" s="169"/>
      <c r="D361" s="2" t="s">
        <v>20</v>
      </c>
      <c r="E361" s="8">
        <f>SUM(F361:Q361)</f>
        <v>0</v>
      </c>
      <c r="F361" s="1">
        <f>F403</f>
        <v>0</v>
      </c>
      <c r="G361" s="1">
        <f t="shared" si="136"/>
        <v>0</v>
      </c>
      <c r="H361" s="1">
        <f t="shared" si="136"/>
        <v>0</v>
      </c>
      <c r="I361" s="1">
        <f t="shared" si="136"/>
        <v>0</v>
      </c>
      <c r="J361" s="1">
        <f t="shared" si="136"/>
        <v>0</v>
      </c>
      <c r="K361" s="1">
        <f t="shared" si="136"/>
        <v>0</v>
      </c>
      <c r="L361" s="1">
        <f t="shared" si="136"/>
        <v>0</v>
      </c>
      <c r="M361" s="1">
        <f t="shared" si="137"/>
        <v>0</v>
      </c>
      <c r="N361" s="1">
        <f t="shared" si="137"/>
        <v>0</v>
      </c>
      <c r="O361" s="1">
        <f t="shared" si="137"/>
        <v>0</v>
      </c>
      <c r="P361" s="1">
        <f t="shared" si="137"/>
        <v>0</v>
      </c>
      <c r="Q361" s="1">
        <f t="shared" si="137"/>
        <v>0</v>
      </c>
    </row>
    <row r="362" spans="1:17" ht="38.65" customHeight="1" x14ac:dyDescent="0.25">
      <c r="A362" s="84"/>
      <c r="B362" s="98"/>
      <c r="C362" s="169"/>
      <c r="D362" s="2" t="s">
        <v>21</v>
      </c>
      <c r="E362" s="8">
        <f>SUM(F362:Q362)</f>
        <v>949054.7</v>
      </c>
      <c r="F362" s="1">
        <f>F371+F378+F384+F404+F406</f>
        <v>0</v>
      </c>
      <c r="G362" s="1">
        <f>G371+G378+G384+G404+G409</f>
        <v>62723.8</v>
      </c>
      <c r="H362" s="1">
        <f>H371+H378+H384+H404+H409</f>
        <v>67226.7</v>
      </c>
      <c r="I362" s="1">
        <f>I371+I378+I384+I404+I409</f>
        <v>68559.900000000009</v>
      </c>
      <c r="J362" s="1">
        <f t="shared" ref="J362:L362" si="138">J374+J381+J404+J409</f>
        <v>71412.5</v>
      </c>
      <c r="K362" s="1">
        <f t="shared" si="138"/>
        <v>82842.099999999991</v>
      </c>
      <c r="L362" s="1">
        <f t="shared" si="138"/>
        <v>100753.7</v>
      </c>
      <c r="M362" s="1">
        <f>M374+M381+M404+M409+M414</f>
        <v>111446.09999999999</v>
      </c>
      <c r="N362" s="1">
        <f>N374+N381+N404+N409+N414</f>
        <v>105812.4</v>
      </c>
      <c r="O362" s="1">
        <f>O374+O381+O404+O409+O414</f>
        <v>105812.1</v>
      </c>
      <c r="P362" s="1">
        <f>P374+P381+P404+P409+P414</f>
        <v>86232.7</v>
      </c>
      <c r="Q362" s="1">
        <f>Q374+Q381+Q404+Q409+Q414</f>
        <v>86232.7</v>
      </c>
    </row>
    <row r="363" spans="1:17" ht="64.150000000000006" customHeight="1" x14ac:dyDescent="0.25">
      <c r="A363" s="84"/>
      <c r="B363" s="98"/>
      <c r="C363" s="169"/>
      <c r="D363" s="2" t="s">
        <v>22</v>
      </c>
      <c r="E363" s="8">
        <f>SUM(F363:Q363)</f>
        <v>38.599999999999994</v>
      </c>
      <c r="F363" s="1"/>
      <c r="G363" s="1">
        <f>G375+G382</f>
        <v>38.599999999999994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</row>
    <row r="364" spans="1:17" ht="36" customHeight="1" x14ac:dyDescent="0.25">
      <c r="A364" s="88"/>
      <c r="B364" s="98"/>
      <c r="C364" s="170"/>
      <c r="D364" s="2" t="s">
        <v>23</v>
      </c>
      <c r="E364" s="8">
        <f>SUM(F364:Q364)</f>
        <v>0</v>
      </c>
      <c r="F364" s="1"/>
      <c r="G364" s="1">
        <f t="shared" ref="G364:L364" si="139">G376+G383+G388+G405+G410</f>
        <v>0</v>
      </c>
      <c r="H364" s="1">
        <f t="shared" si="139"/>
        <v>0</v>
      </c>
      <c r="I364" s="1">
        <f t="shared" si="139"/>
        <v>0</v>
      </c>
      <c r="J364" s="1">
        <f t="shared" si="139"/>
        <v>0</v>
      </c>
      <c r="K364" s="1">
        <f t="shared" si="139"/>
        <v>0</v>
      </c>
      <c r="L364" s="1">
        <f t="shared" si="139"/>
        <v>0</v>
      </c>
      <c r="M364" s="1">
        <f>M376+M383+M388+M405+M410</f>
        <v>0</v>
      </c>
      <c r="N364" s="1">
        <f>N376+N383+N388+N405+N410</f>
        <v>0</v>
      </c>
      <c r="O364" s="1">
        <f>O376+O383+O388+O405+O410</f>
        <v>0</v>
      </c>
      <c r="P364" s="1">
        <f>P376+P383+P388+P405+P410</f>
        <v>0</v>
      </c>
      <c r="Q364" s="1">
        <f>Q376+Q383+Q388+Q405+Q410</f>
        <v>0</v>
      </c>
    </row>
    <row r="365" spans="1:17" ht="31.75" customHeight="1" x14ac:dyDescent="0.25">
      <c r="A365" s="123" t="s">
        <v>105</v>
      </c>
      <c r="B365" s="93" t="s">
        <v>106</v>
      </c>
      <c r="C365" s="60"/>
      <c r="D365" s="24" t="s">
        <v>4</v>
      </c>
      <c r="E365" s="9">
        <f>SUM(G365:Q365)</f>
        <v>914637.70000000007</v>
      </c>
      <c r="F365" s="10"/>
      <c r="G365" s="10">
        <f t="shared" ref="G365:L365" si="140">G371+G378</f>
        <v>62723.8</v>
      </c>
      <c r="H365" s="10">
        <f t="shared" si="140"/>
        <v>64890.400000000001</v>
      </c>
      <c r="I365" s="10">
        <f t="shared" si="140"/>
        <v>66924.600000000006</v>
      </c>
      <c r="J365" s="10">
        <f t="shared" si="140"/>
        <v>69411.899999999994</v>
      </c>
      <c r="K365" s="10">
        <f t="shared" si="140"/>
        <v>80351.399999999994</v>
      </c>
      <c r="L365" s="10">
        <f t="shared" si="140"/>
        <v>97487</v>
      </c>
      <c r="M365" s="10">
        <f>M371+M378</f>
        <v>104572</v>
      </c>
      <c r="N365" s="10">
        <f>N371+N378</f>
        <v>101791.5</v>
      </c>
      <c r="O365" s="10">
        <f>O371+O378</f>
        <v>101791.5</v>
      </c>
      <c r="P365" s="10">
        <f>P371+P378</f>
        <v>82346.8</v>
      </c>
      <c r="Q365" s="10">
        <f>Q371+Q378</f>
        <v>82346.8</v>
      </c>
    </row>
    <row r="366" spans="1:17" ht="21.6" customHeight="1" x14ac:dyDescent="0.25">
      <c r="A366" s="84"/>
      <c r="B366" s="98"/>
      <c r="C366" s="42"/>
      <c r="D366" s="2" t="s">
        <v>19</v>
      </c>
      <c r="E366" s="3">
        <f t="shared" ref="E366:E376" si="141">SUM(F366:Q366)</f>
        <v>0</v>
      </c>
      <c r="F366" s="10"/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</row>
    <row r="367" spans="1:17" ht="37.35" customHeight="1" x14ac:dyDescent="0.25">
      <c r="A367" s="84"/>
      <c r="B367" s="98"/>
      <c r="C367" s="42"/>
      <c r="D367" s="2" t="s">
        <v>20</v>
      </c>
      <c r="E367" s="3">
        <f t="shared" si="141"/>
        <v>0</v>
      </c>
      <c r="F367" s="10"/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</row>
    <row r="368" spans="1:17" ht="41.25" customHeight="1" x14ac:dyDescent="0.25">
      <c r="A368" s="78"/>
      <c r="B368" s="99"/>
      <c r="C368" s="47"/>
      <c r="D368" s="2" t="s">
        <v>21</v>
      </c>
      <c r="E368" s="3">
        <f t="shared" si="141"/>
        <v>914637.70000000007</v>
      </c>
      <c r="F368" s="10"/>
      <c r="G368" s="1">
        <f t="shared" ref="G368:L369" si="142">G374+G381</f>
        <v>62723.8</v>
      </c>
      <c r="H368" s="1">
        <f t="shared" si="142"/>
        <v>64890.400000000001</v>
      </c>
      <c r="I368" s="1">
        <f t="shared" si="142"/>
        <v>66924.600000000006</v>
      </c>
      <c r="J368" s="1">
        <f t="shared" si="142"/>
        <v>69411.899999999994</v>
      </c>
      <c r="K368" s="1">
        <f t="shared" si="142"/>
        <v>80351.399999999994</v>
      </c>
      <c r="L368" s="1">
        <f t="shared" si="142"/>
        <v>97487</v>
      </c>
      <c r="M368" s="1">
        <f t="shared" ref="M368:Q369" si="143">M374+M381</f>
        <v>104572</v>
      </c>
      <c r="N368" s="1">
        <f t="shared" si="143"/>
        <v>101791.5</v>
      </c>
      <c r="O368" s="1">
        <f t="shared" si="143"/>
        <v>101791.5</v>
      </c>
      <c r="P368" s="1">
        <f t="shared" si="143"/>
        <v>82346.8</v>
      </c>
      <c r="Q368" s="1">
        <f t="shared" si="143"/>
        <v>82346.8</v>
      </c>
    </row>
    <row r="369" spans="1:17" ht="66.8" customHeight="1" x14ac:dyDescent="0.25">
      <c r="A369" s="84"/>
      <c r="B369" s="98"/>
      <c r="C369" s="47"/>
      <c r="D369" s="34" t="s">
        <v>22</v>
      </c>
      <c r="E369" s="35">
        <f t="shared" si="141"/>
        <v>38.599999999999994</v>
      </c>
      <c r="F369" s="45"/>
      <c r="G369" s="11">
        <f t="shared" si="142"/>
        <v>38.599999999999994</v>
      </c>
      <c r="H369" s="11">
        <f t="shared" si="142"/>
        <v>0</v>
      </c>
      <c r="I369" s="11">
        <f t="shared" si="142"/>
        <v>0</v>
      </c>
      <c r="J369" s="11">
        <f t="shared" si="142"/>
        <v>0</v>
      </c>
      <c r="K369" s="11">
        <f t="shared" si="142"/>
        <v>0</v>
      </c>
      <c r="L369" s="11">
        <f t="shared" si="142"/>
        <v>0</v>
      </c>
      <c r="M369" s="11">
        <f t="shared" si="143"/>
        <v>0</v>
      </c>
      <c r="N369" s="11">
        <f t="shared" si="143"/>
        <v>0</v>
      </c>
      <c r="O369" s="11">
        <f t="shared" si="143"/>
        <v>0</v>
      </c>
      <c r="P369" s="11">
        <f t="shared" si="143"/>
        <v>0</v>
      </c>
      <c r="Q369" s="11">
        <f t="shared" si="143"/>
        <v>0</v>
      </c>
    </row>
    <row r="370" spans="1:17" ht="42.55" customHeight="1" x14ac:dyDescent="0.25">
      <c r="A370" s="59"/>
      <c r="B370" s="118"/>
      <c r="C370" s="42"/>
      <c r="D370" s="2" t="s">
        <v>23</v>
      </c>
      <c r="E370" s="3">
        <f t="shared" si="141"/>
        <v>0</v>
      </c>
      <c r="F370" s="45"/>
      <c r="G370" s="11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</row>
    <row r="371" spans="1:17" ht="35.700000000000003" customHeight="1" x14ac:dyDescent="0.25">
      <c r="A371" s="90" t="s">
        <v>107</v>
      </c>
      <c r="B371" s="149" t="s">
        <v>108</v>
      </c>
      <c r="C371" s="168" t="s">
        <v>82</v>
      </c>
      <c r="D371" s="2" t="s">
        <v>31</v>
      </c>
      <c r="E371" s="3">
        <f t="shared" si="141"/>
        <v>279977.3</v>
      </c>
      <c r="F371" s="1"/>
      <c r="G371" s="1">
        <f t="shared" ref="G371:L371" si="144">G374</f>
        <v>20233.3</v>
      </c>
      <c r="H371" s="1">
        <f t="shared" si="144"/>
        <v>20012.599999999999</v>
      </c>
      <c r="I371" s="1">
        <f t="shared" si="144"/>
        <v>20236</v>
      </c>
      <c r="J371" s="1">
        <f t="shared" si="144"/>
        <v>21467.200000000001</v>
      </c>
      <c r="K371" s="1">
        <f t="shared" si="144"/>
        <v>25212.6</v>
      </c>
      <c r="L371" s="1">
        <f t="shared" si="144"/>
        <v>29593.7</v>
      </c>
      <c r="M371" s="1">
        <f>M374</f>
        <v>31047.9</v>
      </c>
      <c r="N371" s="1">
        <f>N374</f>
        <v>29975.599999999999</v>
      </c>
      <c r="O371" s="1">
        <f>O374</f>
        <v>29975.599999999999</v>
      </c>
      <c r="P371" s="1">
        <f>P374</f>
        <v>26111.4</v>
      </c>
      <c r="Q371" s="1">
        <f>Q374</f>
        <v>26111.4</v>
      </c>
    </row>
    <row r="372" spans="1:17" ht="34.700000000000003" customHeight="1" x14ac:dyDescent="0.25">
      <c r="A372" s="84"/>
      <c r="B372" s="176"/>
      <c r="C372" s="193"/>
      <c r="D372" s="2" t="s">
        <v>19</v>
      </c>
      <c r="E372" s="3">
        <f t="shared" si="141"/>
        <v>0</v>
      </c>
      <c r="F372" s="1"/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</row>
    <row r="373" spans="1:17" ht="36" customHeight="1" x14ac:dyDescent="0.25">
      <c r="A373" s="84"/>
      <c r="B373" s="176"/>
      <c r="C373" s="193"/>
      <c r="D373" s="2" t="s">
        <v>20</v>
      </c>
      <c r="E373" s="3">
        <f t="shared" si="141"/>
        <v>0</v>
      </c>
      <c r="F373" s="1"/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</row>
    <row r="374" spans="1:17" ht="38.15" customHeight="1" x14ac:dyDescent="0.25">
      <c r="A374" s="84"/>
      <c r="B374" s="112"/>
      <c r="C374" s="193"/>
      <c r="D374" s="2" t="s">
        <v>21</v>
      </c>
      <c r="E374" s="3">
        <f t="shared" si="141"/>
        <v>279977.3</v>
      </c>
      <c r="F374" s="1"/>
      <c r="G374" s="1">
        <f>19861.2+555.3-183.2</f>
        <v>20233.3</v>
      </c>
      <c r="H374" s="1">
        <f>20346.3-246-87.7</f>
        <v>20012.599999999999</v>
      </c>
      <c r="I374" s="1">
        <f>20236.8-0.8</f>
        <v>20236</v>
      </c>
      <c r="J374" s="1">
        <v>21467.200000000001</v>
      </c>
      <c r="K374" s="1">
        <v>25212.6</v>
      </c>
      <c r="L374" s="1">
        <f>24269.8+5118.5+205.5-0.1</f>
        <v>29593.7</v>
      </c>
      <c r="M374" s="1">
        <f>29667.4+752.2+628.3</f>
        <v>31047.9</v>
      </c>
      <c r="N374" s="1">
        <v>29975.599999999999</v>
      </c>
      <c r="O374" s="1">
        <v>29975.599999999999</v>
      </c>
      <c r="P374" s="1">
        <v>26111.4</v>
      </c>
      <c r="Q374" s="1">
        <v>26111.4</v>
      </c>
    </row>
    <row r="375" spans="1:17" ht="52.4" customHeight="1" x14ac:dyDescent="0.25">
      <c r="A375" s="84"/>
      <c r="B375" s="112"/>
      <c r="C375" s="193"/>
      <c r="D375" s="2" t="s">
        <v>22</v>
      </c>
      <c r="E375" s="3">
        <f t="shared" si="141"/>
        <v>1.3</v>
      </c>
      <c r="F375" s="1"/>
      <c r="G375" s="1">
        <v>1.3</v>
      </c>
      <c r="H375" s="1">
        <f t="shared" ref="H375:Q375" si="145">H382+H388</f>
        <v>0</v>
      </c>
      <c r="I375" s="1">
        <f t="shared" si="145"/>
        <v>0</v>
      </c>
      <c r="J375" s="1">
        <f t="shared" si="145"/>
        <v>0</v>
      </c>
      <c r="K375" s="1">
        <f t="shared" si="145"/>
        <v>0</v>
      </c>
      <c r="L375" s="1">
        <f t="shared" si="145"/>
        <v>0</v>
      </c>
      <c r="M375" s="1">
        <f t="shared" si="145"/>
        <v>0</v>
      </c>
      <c r="N375" s="1">
        <f t="shared" si="145"/>
        <v>0</v>
      </c>
      <c r="O375" s="1">
        <f t="shared" si="145"/>
        <v>0</v>
      </c>
      <c r="P375" s="1">
        <f t="shared" si="145"/>
        <v>0</v>
      </c>
      <c r="Q375" s="1">
        <f t="shared" si="145"/>
        <v>0</v>
      </c>
    </row>
    <row r="376" spans="1:17" ht="33.4" customHeight="1" x14ac:dyDescent="0.25">
      <c r="A376" s="78"/>
      <c r="B376" s="115"/>
      <c r="C376" s="194"/>
      <c r="D376" s="2" t="s">
        <v>23</v>
      </c>
      <c r="E376" s="3">
        <f t="shared" si="141"/>
        <v>0</v>
      </c>
      <c r="F376" s="1"/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</row>
    <row r="377" spans="1:17" ht="60.25" hidden="1" customHeight="1" x14ac:dyDescent="0.25">
      <c r="A377" s="65" t="s">
        <v>109</v>
      </c>
      <c r="B377" s="76" t="s">
        <v>110</v>
      </c>
      <c r="C377" s="107"/>
      <c r="D377" s="24" t="s">
        <v>4</v>
      </c>
      <c r="E377" s="3">
        <f>SUM(F377:M377)</f>
        <v>0</v>
      </c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</row>
    <row r="378" spans="1:17" ht="26.2" customHeight="1" x14ac:dyDescent="0.25">
      <c r="A378" s="226" t="s">
        <v>111</v>
      </c>
      <c r="B378" s="175" t="s">
        <v>112</v>
      </c>
      <c r="C378" s="168" t="s">
        <v>77</v>
      </c>
      <c r="D378" s="2" t="s">
        <v>31</v>
      </c>
      <c r="E378" s="3">
        <f t="shared" ref="E378:E383" si="146">SUM(F378:Q378)</f>
        <v>634660.40000000014</v>
      </c>
      <c r="F378" s="1"/>
      <c r="G378" s="1">
        <f t="shared" ref="G378:L378" si="147">G381</f>
        <v>42490.500000000007</v>
      </c>
      <c r="H378" s="1">
        <f t="shared" si="147"/>
        <v>44877.8</v>
      </c>
      <c r="I378" s="1">
        <f t="shared" si="147"/>
        <v>46688.6</v>
      </c>
      <c r="J378" s="1">
        <f t="shared" si="147"/>
        <v>47944.7</v>
      </c>
      <c r="K378" s="1">
        <f t="shared" si="147"/>
        <v>55138.8</v>
      </c>
      <c r="L378" s="1">
        <f t="shared" si="147"/>
        <v>67893.3</v>
      </c>
      <c r="M378" s="1">
        <f>M381</f>
        <v>73524.100000000006</v>
      </c>
      <c r="N378" s="1">
        <f>N381</f>
        <v>71815.899999999994</v>
      </c>
      <c r="O378" s="1">
        <f>O381</f>
        <v>71815.899999999994</v>
      </c>
      <c r="P378" s="1">
        <f>P381</f>
        <v>56235.4</v>
      </c>
      <c r="Q378" s="1">
        <f>Q381</f>
        <v>56235.4</v>
      </c>
    </row>
    <row r="379" spans="1:17" ht="28" customHeight="1" x14ac:dyDescent="0.25">
      <c r="A379" s="227"/>
      <c r="B379" s="151"/>
      <c r="C379" s="169"/>
      <c r="D379" s="2" t="s">
        <v>19</v>
      </c>
      <c r="E379" s="3">
        <f t="shared" si="146"/>
        <v>0</v>
      </c>
      <c r="F379" s="1"/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</row>
    <row r="380" spans="1:17" ht="33.75" customHeight="1" x14ac:dyDescent="0.25">
      <c r="A380" s="227"/>
      <c r="B380" s="151"/>
      <c r="C380" s="169"/>
      <c r="D380" s="2" t="s">
        <v>20</v>
      </c>
      <c r="E380" s="3">
        <f t="shared" si="146"/>
        <v>0</v>
      </c>
      <c r="F380" s="1"/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</row>
    <row r="381" spans="1:17" ht="23.9" customHeight="1" x14ac:dyDescent="0.25">
      <c r="A381" s="227"/>
      <c r="B381" s="151"/>
      <c r="C381" s="169"/>
      <c r="D381" s="2" t="s">
        <v>21</v>
      </c>
      <c r="E381" s="3">
        <f t="shared" si="146"/>
        <v>634660.40000000014</v>
      </c>
      <c r="F381" s="1"/>
      <c r="G381" s="1">
        <f>43430.3-797.7-142.1-1.3+1.4-0.1</f>
        <v>42490.500000000007</v>
      </c>
      <c r="H381" s="1">
        <f>39311.5+4612.1-188.3+1124.9+115.3-97.7</f>
        <v>44877.8</v>
      </c>
      <c r="I381" s="1">
        <f>45664+320+116.5+613.9-25.8</f>
        <v>46688.6</v>
      </c>
      <c r="J381" s="1">
        <v>47944.7</v>
      </c>
      <c r="K381" s="1">
        <v>55138.8</v>
      </c>
      <c r="L381" s="1">
        <f>54155.7+13124-140.7+1112.3-357.9-0.1</f>
        <v>67893.3</v>
      </c>
      <c r="M381" s="1">
        <f>69405.1+2628.3+350.9+1139.8</f>
        <v>73524.100000000006</v>
      </c>
      <c r="N381" s="1">
        <v>71815.899999999994</v>
      </c>
      <c r="O381" s="1">
        <v>71815.899999999994</v>
      </c>
      <c r="P381" s="1">
        <v>56235.4</v>
      </c>
      <c r="Q381" s="1">
        <v>56235.4</v>
      </c>
    </row>
    <row r="382" spans="1:17" ht="59.75" customHeight="1" x14ac:dyDescent="0.25">
      <c r="A382" s="128"/>
      <c r="B382" s="88"/>
      <c r="C382" s="169"/>
      <c r="D382" s="2" t="s">
        <v>22</v>
      </c>
      <c r="E382" s="3">
        <f t="shared" si="146"/>
        <v>37.299999999999997</v>
      </c>
      <c r="F382" s="1"/>
      <c r="G382" s="1">
        <v>37.299999999999997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</row>
    <row r="383" spans="1:17" ht="31.75" customHeight="1" x14ac:dyDescent="0.25">
      <c r="A383" s="66"/>
      <c r="B383" s="115"/>
      <c r="C383" s="170"/>
      <c r="D383" s="2" t="s">
        <v>23</v>
      </c>
      <c r="E383" s="3">
        <f t="shared" si="146"/>
        <v>0</v>
      </c>
      <c r="F383" s="1"/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</row>
    <row r="384" spans="1:17" ht="16.55" hidden="1" customHeight="1" x14ac:dyDescent="0.25">
      <c r="A384" s="85" t="s">
        <v>113</v>
      </c>
      <c r="B384" s="149" t="s">
        <v>114</v>
      </c>
      <c r="C384" s="190" t="s">
        <v>115</v>
      </c>
      <c r="D384" s="2" t="s">
        <v>31</v>
      </c>
      <c r="E384" s="3">
        <f>SUM(F384:L384)</f>
        <v>0</v>
      </c>
      <c r="F384" s="1"/>
      <c r="G384" s="1">
        <f t="shared" ref="G384:L384" si="148">G387</f>
        <v>0</v>
      </c>
      <c r="H384" s="1">
        <f t="shared" si="148"/>
        <v>0</v>
      </c>
      <c r="I384" s="1">
        <f t="shared" si="148"/>
        <v>0</v>
      </c>
      <c r="J384" s="1">
        <f t="shared" si="148"/>
        <v>0</v>
      </c>
      <c r="K384" s="1">
        <f t="shared" si="148"/>
        <v>0</v>
      </c>
      <c r="L384" s="1">
        <f t="shared" si="148"/>
        <v>0</v>
      </c>
      <c r="M384" s="1">
        <f>M387</f>
        <v>0</v>
      </c>
      <c r="N384" s="1"/>
      <c r="O384" s="1"/>
      <c r="P384" s="1"/>
      <c r="Q384" s="1"/>
    </row>
    <row r="385" spans="1:17" ht="18" hidden="1" customHeight="1" x14ac:dyDescent="0.25">
      <c r="A385" s="85"/>
      <c r="B385" s="151"/>
      <c r="C385" s="173"/>
      <c r="D385" s="2" t="s">
        <v>19</v>
      </c>
      <c r="E385" s="3">
        <f>SUM(F385:L385)</f>
        <v>0</v>
      </c>
      <c r="F385" s="1"/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/>
      <c r="O385" s="1"/>
      <c r="P385" s="1"/>
      <c r="Q385" s="1"/>
    </row>
    <row r="386" spans="1:17" ht="15.05" hidden="1" customHeight="1" x14ac:dyDescent="0.25">
      <c r="A386" s="85"/>
      <c r="B386" s="151"/>
      <c r="C386" s="173"/>
      <c r="D386" s="2" t="s">
        <v>20</v>
      </c>
      <c r="E386" s="3">
        <f>SUM(F386:L386)</f>
        <v>0</v>
      </c>
      <c r="F386" s="1"/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v>0</v>
      </c>
      <c r="N386" s="1"/>
      <c r="O386" s="1"/>
      <c r="P386" s="1"/>
      <c r="Q386" s="1"/>
    </row>
    <row r="387" spans="1:17" ht="15.75" hidden="1" customHeight="1" x14ac:dyDescent="0.25">
      <c r="A387" s="86"/>
      <c r="B387" s="151"/>
      <c r="C387" s="173"/>
      <c r="D387" s="2" t="s">
        <v>21</v>
      </c>
      <c r="E387" s="3">
        <f>SUM(F387:L387)</f>
        <v>0</v>
      </c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30.8" hidden="1" customHeight="1" x14ac:dyDescent="0.25">
      <c r="A388" s="119"/>
      <c r="B388" s="89"/>
      <c r="C388" s="174"/>
      <c r="D388" s="2" t="s">
        <v>23</v>
      </c>
      <c r="E388" s="3">
        <f>SUM(F388:L388)</f>
        <v>0</v>
      </c>
      <c r="F388" s="1"/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/>
      <c r="O388" s="1"/>
      <c r="P388" s="1"/>
      <c r="Q388" s="1"/>
    </row>
    <row r="389" spans="1:17" ht="50.25" hidden="1" customHeight="1" x14ac:dyDescent="0.25">
      <c r="A389" s="67" t="s">
        <v>116</v>
      </c>
      <c r="B389" s="68" t="s">
        <v>117</v>
      </c>
      <c r="C389" s="103"/>
      <c r="D389" s="24" t="s">
        <v>4</v>
      </c>
      <c r="E389" s="9">
        <f>SUM(E390:E392)</f>
        <v>0</v>
      </c>
      <c r="F389" s="10"/>
      <c r="G389" s="10">
        <f t="shared" ref="G389:M389" si="149">G390</f>
        <v>0</v>
      </c>
      <c r="H389" s="10">
        <f t="shared" si="149"/>
        <v>0</v>
      </c>
      <c r="I389" s="10">
        <f t="shared" si="149"/>
        <v>0</v>
      </c>
      <c r="J389" s="10">
        <f t="shared" si="149"/>
        <v>0</v>
      </c>
      <c r="K389" s="10">
        <f t="shared" si="149"/>
        <v>0</v>
      </c>
      <c r="L389" s="10">
        <f t="shared" si="149"/>
        <v>0</v>
      </c>
      <c r="M389" s="10">
        <f t="shared" si="149"/>
        <v>0</v>
      </c>
      <c r="N389" s="10"/>
      <c r="O389" s="10"/>
      <c r="P389" s="10"/>
      <c r="Q389" s="10"/>
    </row>
    <row r="390" spans="1:17" ht="15.05" hidden="1" customHeight="1" x14ac:dyDescent="0.25">
      <c r="A390" s="191" t="s">
        <v>118</v>
      </c>
      <c r="B390" s="192" t="s">
        <v>112</v>
      </c>
      <c r="C390" s="103"/>
      <c r="D390" s="2" t="s">
        <v>31</v>
      </c>
      <c r="E390" s="3">
        <f>SUM(F390:L390)</f>
        <v>0</v>
      </c>
      <c r="F390" s="1"/>
      <c r="G390" s="1">
        <f t="shared" ref="G390:L390" si="150">G393</f>
        <v>0</v>
      </c>
      <c r="H390" s="1">
        <f t="shared" si="150"/>
        <v>0</v>
      </c>
      <c r="I390" s="1">
        <f t="shared" si="150"/>
        <v>0</v>
      </c>
      <c r="J390" s="1">
        <f t="shared" si="150"/>
        <v>0</v>
      </c>
      <c r="K390" s="1">
        <f t="shared" si="150"/>
        <v>0</v>
      </c>
      <c r="L390" s="1">
        <f t="shared" si="150"/>
        <v>0</v>
      </c>
      <c r="M390" s="1">
        <f>M393</f>
        <v>0</v>
      </c>
      <c r="N390" s="1"/>
      <c r="O390" s="1"/>
      <c r="P390" s="1"/>
      <c r="Q390" s="1"/>
    </row>
    <row r="391" spans="1:17" ht="17.2" hidden="1" customHeight="1" x14ac:dyDescent="0.25">
      <c r="A391" s="153"/>
      <c r="B391" s="167"/>
      <c r="C391" s="103"/>
      <c r="D391" s="2" t="s">
        <v>19</v>
      </c>
      <c r="E391" s="3">
        <f>SUM(F391:L391)</f>
        <v>0</v>
      </c>
      <c r="F391" s="1"/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/>
      <c r="O391" s="1"/>
      <c r="P391" s="1"/>
      <c r="Q391" s="1"/>
    </row>
    <row r="392" spans="1:17" ht="17.2" hidden="1" customHeight="1" x14ac:dyDescent="0.25">
      <c r="A392" s="153"/>
      <c r="B392" s="167"/>
      <c r="C392" s="103"/>
      <c r="D392" s="2" t="s">
        <v>20</v>
      </c>
      <c r="E392" s="3">
        <f>SUM(F392:L392)</f>
        <v>0</v>
      </c>
      <c r="F392" s="1"/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/>
      <c r="O392" s="1"/>
      <c r="P392" s="1"/>
      <c r="Q392" s="1"/>
    </row>
    <row r="393" spans="1:17" ht="15.75" hidden="1" customHeight="1" x14ac:dyDescent="0.25">
      <c r="A393" s="153"/>
      <c r="B393" s="167"/>
      <c r="C393" s="103"/>
      <c r="D393" s="2" t="s">
        <v>21</v>
      </c>
      <c r="E393" s="3">
        <f>SUM(F393:L393)</f>
        <v>0</v>
      </c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34.549999999999997" hidden="1" customHeight="1" x14ac:dyDescent="0.25">
      <c r="A394" s="153"/>
      <c r="B394" s="167"/>
      <c r="C394" s="103"/>
      <c r="D394" s="2" t="s">
        <v>68</v>
      </c>
      <c r="E394" s="3">
        <f>SUM(G394:L394)</f>
        <v>0</v>
      </c>
      <c r="F394" s="1"/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/>
      <c r="O394" s="1"/>
      <c r="P394" s="1"/>
      <c r="Q394" s="1"/>
    </row>
    <row r="395" spans="1:17" ht="8.6999999999999993" hidden="1" customHeight="1" x14ac:dyDescent="0.25">
      <c r="A395" s="154"/>
      <c r="B395" s="167"/>
      <c r="C395" s="103"/>
      <c r="D395" s="69" t="s">
        <v>23</v>
      </c>
      <c r="E395" s="3">
        <f>SUM(F395:L395)</f>
        <v>0</v>
      </c>
      <c r="F395" s="1"/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/>
      <c r="O395" s="1"/>
      <c r="P395" s="1"/>
      <c r="Q395" s="1"/>
    </row>
    <row r="396" spans="1:17" ht="31.75" customHeight="1" x14ac:dyDescent="0.25">
      <c r="A396" s="231" t="s">
        <v>119</v>
      </c>
      <c r="B396" s="166" t="s">
        <v>120</v>
      </c>
      <c r="C396" s="51"/>
      <c r="D396" s="24" t="s">
        <v>4</v>
      </c>
      <c r="E396" s="9">
        <f>SUM(G396:Q396)</f>
        <v>31487.5</v>
      </c>
      <c r="F396" s="10"/>
      <c r="G396" s="10">
        <f t="shared" ref="G396:L396" si="151">G401+G406</f>
        <v>0</v>
      </c>
      <c r="H396" s="10">
        <f t="shared" si="151"/>
        <v>2336.3000000000002</v>
      </c>
      <c r="I396" s="10">
        <f t="shared" si="151"/>
        <v>1635.2999999999997</v>
      </c>
      <c r="J396" s="10">
        <f t="shared" si="151"/>
        <v>2000.6</v>
      </c>
      <c r="K396" s="10">
        <f t="shared" si="151"/>
        <v>2490.6999999999998</v>
      </c>
      <c r="L396" s="10">
        <f t="shared" si="151"/>
        <v>3266.7</v>
      </c>
      <c r="M396" s="10">
        <f>M401+M406</f>
        <v>3944.6000000000004</v>
      </c>
      <c r="N396" s="10">
        <f>N401+N406</f>
        <v>4020.9</v>
      </c>
      <c r="O396" s="10">
        <f>O401+O406</f>
        <v>4020.6</v>
      </c>
      <c r="P396" s="10">
        <f>P401+P406</f>
        <v>3885.9</v>
      </c>
      <c r="Q396" s="10">
        <f>Q401+Q406</f>
        <v>3885.9</v>
      </c>
    </row>
    <row r="397" spans="1:17" ht="39.950000000000003" customHeight="1" x14ac:dyDescent="0.25">
      <c r="A397" s="162"/>
      <c r="B397" s="185"/>
      <c r="C397" s="96"/>
      <c r="D397" s="2" t="s">
        <v>19</v>
      </c>
      <c r="E397" s="3">
        <f t="shared" ref="E397:E410" si="152">SUM(F397:Q397)</f>
        <v>0</v>
      </c>
      <c r="F397" s="10"/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</row>
    <row r="398" spans="1:17" ht="36" customHeight="1" x14ac:dyDescent="0.25">
      <c r="A398" s="162"/>
      <c r="B398" s="185"/>
      <c r="C398" s="95"/>
      <c r="D398" s="34" t="s">
        <v>20</v>
      </c>
      <c r="E398" s="3">
        <f t="shared" si="152"/>
        <v>0</v>
      </c>
      <c r="F398" s="45"/>
      <c r="G398" s="11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</row>
    <row r="399" spans="1:17" ht="36.65" customHeight="1" x14ac:dyDescent="0.25">
      <c r="A399" s="162"/>
      <c r="B399" s="185"/>
      <c r="C399" s="96"/>
      <c r="D399" s="2" t="s">
        <v>21</v>
      </c>
      <c r="E399" s="3">
        <f t="shared" si="152"/>
        <v>34417</v>
      </c>
      <c r="F399" s="10"/>
      <c r="G399" s="1">
        <v>0</v>
      </c>
      <c r="H399" s="1">
        <f t="shared" ref="H399:L399" si="153">H404+H409</f>
        <v>2336.3000000000002</v>
      </c>
      <c r="I399" s="1">
        <f t="shared" si="153"/>
        <v>1635.2999999999997</v>
      </c>
      <c r="J399" s="1">
        <f t="shared" si="153"/>
        <v>2000.6</v>
      </c>
      <c r="K399" s="1">
        <f t="shared" si="153"/>
        <v>2490.6999999999998</v>
      </c>
      <c r="L399" s="1">
        <f t="shared" si="153"/>
        <v>3266.7</v>
      </c>
      <c r="M399" s="1">
        <f>M404+M409+M414</f>
        <v>6874.1</v>
      </c>
      <c r="N399" s="1">
        <f>N404+N409+N414</f>
        <v>4020.9</v>
      </c>
      <c r="O399" s="1">
        <f>O404+O409+O414</f>
        <v>4020.6</v>
      </c>
      <c r="P399" s="1">
        <f>P404+P409+P414</f>
        <v>3885.9</v>
      </c>
      <c r="Q399" s="1">
        <f>Q404+Q409+Q414</f>
        <v>3885.9</v>
      </c>
    </row>
    <row r="400" spans="1:17" ht="33.75" customHeight="1" x14ac:dyDescent="0.25">
      <c r="A400" s="28"/>
      <c r="B400" s="118"/>
      <c r="C400" s="96"/>
      <c r="D400" s="34" t="s">
        <v>23</v>
      </c>
      <c r="E400" s="35">
        <f t="shared" si="152"/>
        <v>0</v>
      </c>
      <c r="F400" s="45"/>
      <c r="G400" s="11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">
        <v>0</v>
      </c>
      <c r="O400" s="1">
        <v>0</v>
      </c>
      <c r="P400" s="1">
        <v>0</v>
      </c>
      <c r="Q400" s="1">
        <v>0</v>
      </c>
    </row>
    <row r="401" spans="1:17" ht="24.9" customHeight="1" x14ac:dyDescent="0.25">
      <c r="A401" s="221" t="s">
        <v>121</v>
      </c>
      <c r="B401" s="163" t="s">
        <v>173</v>
      </c>
      <c r="C401" s="190" t="s">
        <v>77</v>
      </c>
      <c r="D401" s="2" t="s">
        <v>31</v>
      </c>
      <c r="E401" s="3">
        <f t="shared" si="152"/>
        <v>7830.7999999999993</v>
      </c>
      <c r="F401" s="1"/>
      <c r="G401" s="1">
        <v>0</v>
      </c>
      <c r="H401" s="1">
        <f t="shared" ref="H401:Q401" si="154">SUM(H402:H404)</f>
        <v>641.20000000000005</v>
      </c>
      <c r="I401" s="1">
        <f t="shared" si="154"/>
        <v>540.5</v>
      </c>
      <c r="J401" s="1">
        <f t="shared" si="154"/>
        <v>525.5</v>
      </c>
      <c r="K401" s="1">
        <f t="shared" si="154"/>
        <v>845.4</v>
      </c>
      <c r="L401" s="1">
        <f t="shared" si="154"/>
        <v>1157.9999999999998</v>
      </c>
      <c r="M401" s="1">
        <f t="shared" si="154"/>
        <v>768.2</v>
      </c>
      <c r="N401" s="1">
        <f t="shared" si="154"/>
        <v>844.5</v>
      </c>
      <c r="O401" s="1">
        <f t="shared" si="154"/>
        <v>844.5</v>
      </c>
      <c r="P401" s="1">
        <f t="shared" si="154"/>
        <v>831.5</v>
      </c>
      <c r="Q401" s="1">
        <f t="shared" si="154"/>
        <v>831.5</v>
      </c>
    </row>
    <row r="402" spans="1:17" ht="35.35" customHeight="1" x14ac:dyDescent="0.25">
      <c r="A402" s="222"/>
      <c r="B402" s="235"/>
      <c r="C402" s="224"/>
      <c r="D402" s="2" t="s">
        <v>19</v>
      </c>
      <c r="E402" s="3">
        <f t="shared" si="152"/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</row>
    <row r="403" spans="1:17" ht="29" customHeight="1" x14ac:dyDescent="0.25">
      <c r="A403" s="222"/>
      <c r="B403" s="70"/>
      <c r="C403" s="224"/>
      <c r="D403" s="2" t="s">
        <v>20</v>
      </c>
      <c r="E403" s="3">
        <f t="shared" si="152"/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</row>
    <row r="404" spans="1:17" ht="34.049999999999997" customHeight="1" x14ac:dyDescent="0.25">
      <c r="A404" s="222"/>
      <c r="B404" s="70"/>
      <c r="C404" s="224"/>
      <c r="D404" s="2" t="s">
        <v>21</v>
      </c>
      <c r="E404" s="3">
        <f t="shared" si="152"/>
        <v>7830.7999999999993</v>
      </c>
      <c r="F404" s="1"/>
      <c r="G404" s="1">
        <v>0</v>
      </c>
      <c r="H404" s="1">
        <f>325.5+372.6-56.9</f>
        <v>641.20000000000005</v>
      </c>
      <c r="I404" s="1">
        <f>325.5+215</f>
        <v>540.5</v>
      </c>
      <c r="J404" s="1">
        <f>325.5+215-15</f>
        <v>525.5</v>
      </c>
      <c r="K404" s="1">
        <v>845.4</v>
      </c>
      <c r="L404" s="1">
        <f>831.5+92.1+180+54.3+0.1</f>
        <v>1157.9999999999998</v>
      </c>
      <c r="M404" s="1">
        <f>338.5+354.2+75.5</f>
        <v>768.2</v>
      </c>
      <c r="N404" s="1">
        <f>338.5+506</f>
        <v>844.5</v>
      </c>
      <c r="O404" s="1">
        <f>506+338.5</f>
        <v>844.5</v>
      </c>
      <c r="P404" s="1">
        <v>831.5</v>
      </c>
      <c r="Q404" s="1">
        <v>831.5</v>
      </c>
    </row>
    <row r="405" spans="1:17" ht="31.75" customHeight="1" x14ac:dyDescent="0.25">
      <c r="A405" s="223"/>
      <c r="B405" s="70"/>
      <c r="C405" s="209"/>
      <c r="D405" s="2" t="s">
        <v>23</v>
      </c>
      <c r="E405" s="3">
        <f t="shared" si="152"/>
        <v>0</v>
      </c>
      <c r="F405" s="1"/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</row>
    <row r="406" spans="1:17" ht="25.55" customHeight="1" x14ac:dyDescent="0.25">
      <c r="A406" s="105" t="s">
        <v>122</v>
      </c>
      <c r="B406" s="192" t="s">
        <v>123</v>
      </c>
      <c r="C406" s="168" t="s">
        <v>77</v>
      </c>
      <c r="D406" s="2" t="s">
        <v>31</v>
      </c>
      <c r="E406" s="3">
        <f t="shared" si="152"/>
        <v>23656.7</v>
      </c>
      <c r="F406" s="1">
        <f t="shared" ref="F406:L406" si="155">SUM(F407:F409)</f>
        <v>0</v>
      </c>
      <c r="G406" s="1">
        <f t="shared" si="155"/>
        <v>0</v>
      </c>
      <c r="H406" s="1">
        <f t="shared" si="155"/>
        <v>1695.1</v>
      </c>
      <c r="I406" s="1">
        <f t="shared" si="155"/>
        <v>1094.7999999999997</v>
      </c>
      <c r="J406" s="1">
        <f t="shared" si="155"/>
        <v>1475.1</v>
      </c>
      <c r="K406" s="1">
        <f t="shared" si="155"/>
        <v>1645.3</v>
      </c>
      <c r="L406" s="1">
        <f t="shared" si="155"/>
        <v>2108.7000000000003</v>
      </c>
      <c r="M406" s="1">
        <f>SUM(M407:M409)</f>
        <v>3176.4</v>
      </c>
      <c r="N406" s="1">
        <f>SUM(N407:N409)</f>
        <v>3176.4</v>
      </c>
      <c r="O406" s="1">
        <f>SUM(O407:O409)</f>
        <v>3176.1</v>
      </c>
      <c r="P406" s="1">
        <f>SUM(P407:P409)</f>
        <v>3054.4</v>
      </c>
      <c r="Q406" s="1">
        <f>SUM(Q407:Q409)</f>
        <v>3054.4</v>
      </c>
    </row>
    <row r="407" spans="1:17" ht="31.45" customHeight="1" x14ac:dyDescent="0.25">
      <c r="A407" s="109"/>
      <c r="B407" s="195"/>
      <c r="C407" s="187"/>
      <c r="D407" s="2" t="s">
        <v>19</v>
      </c>
      <c r="E407" s="3">
        <f t="shared" si="152"/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</row>
    <row r="408" spans="1:17" ht="27.65" customHeight="1" x14ac:dyDescent="0.25">
      <c r="A408" s="109"/>
      <c r="B408" s="108"/>
      <c r="C408" s="187"/>
      <c r="D408" s="2" t="s">
        <v>20</v>
      </c>
      <c r="E408" s="3">
        <f t="shared" si="152"/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</row>
    <row r="409" spans="1:17" ht="29.45" customHeight="1" x14ac:dyDescent="0.25">
      <c r="A409" s="109"/>
      <c r="B409" s="108"/>
      <c r="C409" s="187"/>
      <c r="D409" s="2" t="s">
        <v>21</v>
      </c>
      <c r="E409" s="3">
        <f t="shared" si="152"/>
        <v>23656.7</v>
      </c>
      <c r="F409" s="1"/>
      <c r="G409" s="1">
        <v>0</v>
      </c>
      <c r="H409" s="1">
        <f>1101.1+429.3+250-85.3</f>
        <v>1695.1</v>
      </c>
      <c r="I409" s="1">
        <f>1491.1+980.3+14-1390.6</f>
        <v>1094.7999999999997</v>
      </c>
      <c r="J409" s="1">
        <v>1475.1</v>
      </c>
      <c r="K409" s="1">
        <v>1645.3</v>
      </c>
      <c r="L409" s="1">
        <f>3054.4-850-95.7</f>
        <v>2108.7000000000003</v>
      </c>
      <c r="M409" s="1">
        <f>1331.5+1807.5+37.4</f>
        <v>3176.4</v>
      </c>
      <c r="N409" s="1">
        <f>1331.5+1807.5+37.4</f>
        <v>3176.4</v>
      </c>
      <c r="O409" s="1">
        <f>1331.2+1807.5+37.4</f>
        <v>3176.1</v>
      </c>
      <c r="P409" s="1">
        <v>3054.4</v>
      </c>
      <c r="Q409" s="1">
        <v>3054.4</v>
      </c>
    </row>
    <row r="410" spans="1:17" ht="30.15" customHeight="1" x14ac:dyDescent="0.25">
      <c r="A410" s="122"/>
      <c r="B410" s="74"/>
      <c r="C410" s="188"/>
      <c r="D410" s="2" t="s">
        <v>23</v>
      </c>
      <c r="E410" s="3">
        <f t="shared" si="152"/>
        <v>0</v>
      </c>
      <c r="F410" s="1"/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</row>
    <row r="411" spans="1:17" ht="34.700000000000003" customHeight="1" x14ac:dyDescent="0.25">
      <c r="A411" s="127" t="s">
        <v>200</v>
      </c>
      <c r="B411" s="192" t="s">
        <v>201</v>
      </c>
      <c r="C411" s="168" t="s">
        <v>77</v>
      </c>
      <c r="D411" s="2" t="s">
        <v>31</v>
      </c>
      <c r="E411" s="3">
        <f t="shared" ref="E411:E415" si="156">SUM(F411:Q411)</f>
        <v>2929.5</v>
      </c>
      <c r="F411" s="1">
        <f t="shared" ref="F411:L411" si="157">SUM(F412:F414)</f>
        <v>0</v>
      </c>
      <c r="G411" s="1">
        <f t="shared" si="157"/>
        <v>0</v>
      </c>
      <c r="H411" s="1">
        <f t="shared" si="157"/>
        <v>0</v>
      </c>
      <c r="I411" s="1">
        <f t="shared" si="157"/>
        <v>0</v>
      </c>
      <c r="J411" s="1">
        <f t="shared" si="157"/>
        <v>0</v>
      </c>
      <c r="K411" s="1">
        <f t="shared" si="157"/>
        <v>0</v>
      </c>
      <c r="L411" s="1">
        <f t="shared" si="157"/>
        <v>0</v>
      </c>
      <c r="M411" s="1">
        <f>SUM(M412:M414)</f>
        <v>2929.5</v>
      </c>
      <c r="N411" s="1">
        <f>SUM(N412:N414)</f>
        <v>0</v>
      </c>
      <c r="O411" s="1">
        <f>SUM(O412:O414)</f>
        <v>0</v>
      </c>
      <c r="P411" s="1">
        <f>SUM(P412:P414)</f>
        <v>0</v>
      </c>
      <c r="Q411" s="1">
        <f>SUM(Q412:Q414)</f>
        <v>0</v>
      </c>
    </row>
    <row r="412" spans="1:17" ht="34.700000000000003" customHeight="1" x14ac:dyDescent="0.25">
      <c r="A412" s="48"/>
      <c r="B412" s="236"/>
      <c r="C412" s="187"/>
      <c r="D412" s="2" t="s">
        <v>19</v>
      </c>
      <c r="E412" s="3">
        <f t="shared" si="156"/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</row>
    <row r="413" spans="1:17" ht="51.75" customHeight="1" x14ac:dyDescent="0.25">
      <c r="A413" s="48"/>
      <c r="B413" s="236"/>
      <c r="C413" s="187"/>
      <c r="D413" s="2" t="s">
        <v>20</v>
      </c>
      <c r="E413" s="3">
        <f t="shared" si="156"/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</row>
    <row r="414" spans="1:17" ht="34.700000000000003" customHeight="1" x14ac:dyDescent="0.25">
      <c r="A414" s="48"/>
      <c r="B414" s="108"/>
      <c r="C414" s="187"/>
      <c r="D414" s="2" t="s">
        <v>21</v>
      </c>
      <c r="E414" s="3">
        <f t="shared" si="156"/>
        <v>2929.5</v>
      </c>
      <c r="F414" s="1"/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2929.5</v>
      </c>
      <c r="N414" s="1">
        <v>0</v>
      </c>
      <c r="O414" s="1">
        <v>0</v>
      </c>
      <c r="P414" s="1">
        <v>0</v>
      </c>
      <c r="Q414" s="1">
        <v>0</v>
      </c>
    </row>
    <row r="415" spans="1:17" ht="34.700000000000003" customHeight="1" x14ac:dyDescent="0.25">
      <c r="A415" s="50"/>
      <c r="B415" s="74"/>
      <c r="C415" s="188"/>
      <c r="D415" s="2" t="s">
        <v>23</v>
      </c>
      <c r="E415" s="3">
        <f t="shared" si="156"/>
        <v>0</v>
      </c>
      <c r="F415" s="1"/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</row>
    <row r="416" spans="1:17" ht="10" customHeight="1" x14ac:dyDescent="0.25">
      <c r="A416" s="15"/>
      <c r="B416" s="15"/>
      <c r="C416" s="71"/>
      <c r="D416" s="71"/>
      <c r="F416" s="17" t="e">
        <f>F15+#REF!</f>
        <v>#REF!</v>
      </c>
      <c r="G416" s="17"/>
    </row>
    <row r="417" spans="1:17" ht="9.1999999999999993" hidden="1" customHeight="1" x14ac:dyDescent="0.25"/>
    <row r="418" spans="1:17" ht="33.75" customHeight="1" x14ac:dyDescent="0.3">
      <c r="A418" s="177" t="s">
        <v>202</v>
      </c>
      <c r="B418" s="178"/>
      <c r="C418" s="178"/>
      <c r="D418" s="178"/>
      <c r="E418" s="178"/>
      <c r="F418" s="178"/>
      <c r="G418" s="178"/>
      <c r="H418" s="178"/>
      <c r="I418" s="178"/>
      <c r="J418" s="178"/>
      <c r="K418" s="178"/>
      <c r="L418" s="178"/>
      <c r="M418" s="178"/>
      <c r="N418" s="178"/>
      <c r="O418" s="178"/>
      <c r="P418" s="178"/>
      <c r="Q418" s="178"/>
    </row>
    <row r="419" spans="1:17" ht="33.75" customHeight="1" x14ac:dyDescent="0.3">
      <c r="A419" s="177" t="s">
        <v>180</v>
      </c>
      <c r="B419" s="178"/>
      <c r="C419" s="178"/>
      <c r="D419" s="178"/>
      <c r="E419" s="178"/>
      <c r="F419" s="178"/>
      <c r="G419" s="178"/>
      <c r="H419" s="178"/>
      <c r="I419" s="178"/>
      <c r="J419" s="178"/>
      <c r="K419" s="178"/>
      <c r="L419" s="178"/>
      <c r="M419" s="178"/>
      <c r="N419" s="178"/>
      <c r="O419" s="178"/>
      <c r="P419" s="178"/>
      <c r="Q419" s="178"/>
    </row>
    <row r="420" spans="1:17" ht="33.4" customHeight="1" x14ac:dyDescent="0.3">
      <c r="A420" s="177" t="s">
        <v>184</v>
      </c>
      <c r="B420" s="178"/>
      <c r="C420" s="178"/>
      <c r="D420" s="178"/>
      <c r="E420" s="178"/>
      <c r="F420" s="178"/>
      <c r="G420" s="178"/>
      <c r="H420" s="178"/>
      <c r="I420" s="178"/>
      <c r="J420" s="178"/>
      <c r="K420" s="178"/>
      <c r="L420" s="178"/>
      <c r="M420" s="178"/>
      <c r="N420" s="178"/>
      <c r="O420" s="178"/>
      <c r="P420" s="178"/>
      <c r="Q420" s="178"/>
    </row>
  </sheetData>
  <mergeCells count="169">
    <mergeCell ref="B384:B387"/>
    <mergeCell ref="B401:B402"/>
    <mergeCell ref="C384:C388"/>
    <mergeCell ref="C324:C328"/>
    <mergeCell ref="C411:C415"/>
    <mergeCell ref="B309:B312"/>
    <mergeCell ref="A250:A254"/>
    <mergeCell ref="B411:B413"/>
    <mergeCell ref="B245:B248"/>
    <mergeCell ref="A240:A244"/>
    <mergeCell ref="A378:A381"/>
    <mergeCell ref="A354:A358"/>
    <mergeCell ref="C359:C364"/>
    <mergeCell ref="B344:B345"/>
    <mergeCell ref="A334:A338"/>
    <mergeCell ref="B359:B361"/>
    <mergeCell ref="A255:A256"/>
    <mergeCell ref="B255:B256"/>
    <mergeCell ref="A265:A267"/>
    <mergeCell ref="B265:B267"/>
    <mergeCell ref="C309:C313"/>
    <mergeCell ref="B354:B358"/>
    <mergeCell ref="C314:C318"/>
    <mergeCell ref="C329:C333"/>
    <mergeCell ref="B334:B338"/>
    <mergeCell ref="B304:B306"/>
    <mergeCell ref="C334:C338"/>
    <mergeCell ref="B240:B243"/>
    <mergeCell ref="B282:B283"/>
    <mergeCell ref="B275:B281"/>
    <mergeCell ref="B314:B317"/>
    <mergeCell ref="B371:B373"/>
    <mergeCell ref="A245:A249"/>
    <mergeCell ref="A419:Q419"/>
    <mergeCell ref="A270:A271"/>
    <mergeCell ref="A260:A264"/>
    <mergeCell ref="B260:B264"/>
    <mergeCell ref="C299:C303"/>
    <mergeCell ref="C304:C308"/>
    <mergeCell ref="C289:C293"/>
    <mergeCell ref="A294:A296"/>
    <mergeCell ref="B294:B296"/>
    <mergeCell ref="C406:C410"/>
    <mergeCell ref="B319:B321"/>
    <mergeCell ref="C378:C383"/>
    <mergeCell ref="A349:A352"/>
    <mergeCell ref="B349:B352"/>
    <mergeCell ref="A401:A405"/>
    <mergeCell ref="C401:C405"/>
    <mergeCell ref="A275:A281"/>
    <mergeCell ref="C344:C348"/>
    <mergeCell ref="B324:B326"/>
    <mergeCell ref="A396:A399"/>
    <mergeCell ref="A418:Q418"/>
    <mergeCell ref="A346:A347"/>
    <mergeCell ref="A319:A321"/>
    <mergeCell ref="A282:A283"/>
    <mergeCell ref="C152:C156"/>
    <mergeCell ref="B181:B182"/>
    <mergeCell ref="C157:C161"/>
    <mergeCell ref="B152:B156"/>
    <mergeCell ref="C205:C209"/>
    <mergeCell ref="B167:B171"/>
    <mergeCell ref="B162:B164"/>
    <mergeCell ref="B172:B173"/>
    <mergeCell ref="B270:B273"/>
    <mergeCell ref="B184:B187"/>
    <mergeCell ref="B250:B253"/>
    <mergeCell ref="B205:B206"/>
    <mergeCell ref="B210:B213"/>
    <mergeCell ref="B9:H9"/>
    <mergeCell ref="A10:A11"/>
    <mergeCell ref="B10:B11"/>
    <mergeCell ref="C10:C11"/>
    <mergeCell ref="A105:A109"/>
    <mergeCell ref="A146:A148"/>
    <mergeCell ref="B44:B48"/>
    <mergeCell ref="C44:C48"/>
    <mergeCell ref="A59:A63"/>
    <mergeCell ref="C69:C74"/>
    <mergeCell ref="A75:A78"/>
    <mergeCell ref="B75:B78"/>
    <mergeCell ref="C80:C84"/>
    <mergeCell ref="C59:C63"/>
    <mergeCell ref="C64:C68"/>
    <mergeCell ref="A69:A73"/>
    <mergeCell ref="C39:C43"/>
    <mergeCell ref="A15:A23"/>
    <mergeCell ref="A24:A32"/>
    <mergeCell ref="A54:A58"/>
    <mergeCell ref="B100:B104"/>
    <mergeCell ref="B121:B125"/>
    <mergeCell ref="B116:B120"/>
    <mergeCell ref="A64:A68"/>
    <mergeCell ref="B90:B92"/>
    <mergeCell ref="B59:B61"/>
    <mergeCell ref="B39:B42"/>
    <mergeCell ref="A220:A221"/>
    <mergeCell ref="A235:A239"/>
    <mergeCell ref="A121:A125"/>
    <mergeCell ref="A200:A203"/>
    <mergeCell ref="A157:A161"/>
    <mergeCell ref="A167:A171"/>
    <mergeCell ref="A131:A135"/>
    <mergeCell ref="A110:A114"/>
    <mergeCell ref="B95:B97"/>
    <mergeCell ref="A100:A104"/>
    <mergeCell ref="B136:B139"/>
    <mergeCell ref="B141:B143"/>
    <mergeCell ref="B105:B107"/>
    <mergeCell ref="B126:B128"/>
    <mergeCell ref="B215:B218"/>
    <mergeCell ref="B24:B32"/>
    <mergeCell ref="C24:C32"/>
    <mergeCell ref="B54:B58"/>
    <mergeCell ref="C54:C58"/>
    <mergeCell ref="C49:C53"/>
    <mergeCell ref="C85:C89"/>
    <mergeCell ref="B64:B68"/>
    <mergeCell ref="B80:B82"/>
    <mergeCell ref="B85:B89"/>
    <mergeCell ref="A420:Q420"/>
    <mergeCell ref="B131:B135"/>
    <mergeCell ref="B110:B112"/>
    <mergeCell ref="C190:C194"/>
    <mergeCell ref="B220:B221"/>
    <mergeCell ref="B200:B203"/>
    <mergeCell ref="B195:B199"/>
    <mergeCell ref="C210:C214"/>
    <mergeCell ref="B190:B192"/>
    <mergeCell ref="C354:C358"/>
    <mergeCell ref="B396:B399"/>
    <mergeCell ref="A390:A395"/>
    <mergeCell ref="B390:B395"/>
    <mergeCell ref="C371:C376"/>
    <mergeCell ref="B378:B381"/>
    <mergeCell ref="C162:C166"/>
    <mergeCell ref="C167:C171"/>
    <mergeCell ref="C172:C177"/>
    <mergeCell ref="A152:A156"/>
    <mergeCell ref="B406:B407"/>
    <mergeCell ref="B225:B228"/>
    <mergeCell ref="B235:B239"/>
    <mergeCell ref="A116:A120"/>
    <mergeCell ref="B299:B303"/>
    <mergeCell ref="O2:Q2"/>
    <mergeCell ref="O3:Q3"/>
    <mergeCell ref="O4:Q4"/>
    <mergeCell ref="A82:A84"/>
    <mergeCell ref="B339:B343"/>
    <mergeCell ref="A339:A343"/>
    <mergeCell ref="O6:Q6"/>
    <mergeCell ref="O7:Q7"/>
    <mergeCell ref="A8:Q8"/>
    <mergeCell ref="A33:A38"/>
    <mergeCell ref="A39:A42"/>
    <mergeCell ref="A44:A48"/>
    <mergeCell ref="A225:A229"/>
    <mergeCell ref="E10:Q10"/>
    <mergeCell ref="B146:B148"/>
    <mergeCell ref="A195:A199"/>
    <mergeCell ref="A190:A192"/>
    <mergeCell ref="B157:B161"/>
    <mergeCell ref="D10:D11"/>
    <mergeCell ref="B33:B38"/>
    <mergeCell ref="C90:C94"/>
    <mergeCell ref="B15:B23"/>
    <mergeCell ref="C15:C23"/>
    <mergeCell ref="B69:B72"/>
  </mergeCells>
  <pageMargins left="0.19685039370078741" right="0.19685039370078741" top="0.19685039370078741" bottom="0.19685039370078741" header="0" footer="0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финансирование</vt:lpstr>
      <vt:lpstr>финансирование!Заголовки_для_печати</vt:lpstr>
      <vt:lpstr>финансирование!Область_печати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2021-06-02T03:11:25Z</cp:lastPrinted>
  <dcterms:created xsi:type="dcterms:W3CDTF">2018-03-29T02:25:17Z</dcterms:created>
  <dcterms:modified xsi:type="dcterms:W3CDTF">2021-06-02T09:58:36Z</dcterms:modified>
</cp:coreProperties>
</file>